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0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ecb7d9e75f817a5/Documents/Reyke/Artikel skripsi/Analisis Data/analisis data fix/"/>
    </mc:Choice>
  </mc:AlternateContent>
  <xr:revisionPtr revIDLastSave="0" documentId="14_{42DBB55C-609C-4DE7-ABC6-8B11E3094E3F}" xr6:coauthVersionLast="47" xr6:coauthVersionMax="47" xr10:uidLastSave="{00000000-0000-0000-0000-000000000000}"/>
  <bookViews>
    <workbookView xWindow="-108" yWindow="-108" windowWidth="23256" windowHeight="13176" firstSheet="1" activeTab="4" xr2:uid="{00000000-000D-0000-FFFF-FFFF00000000}"/>
  </bookViews>
  <sheets>
    <sheet name="7 HST" sheetId="1" r:id="rId1"/>
    <sheet name="14 HST" sheetId="2" r:id="rId2"/>
    <sheet name="21 HST" sheetId="3" r:id="rId3"/>
    <sheet name="28 HST" sheetId="4" r:id="rId4"/>
    <sheet name="PANEN" sheetId="5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4" i="5" l="1"/>
  <c r="R26" i="5"/>
  <c r="B60" i="5"/>
  <c r="G60" i="5"/>
  <c r="B58" i="5"/>
  <c r="G57" i="5"/>
  <c r="B56" i="5"/>
  <c r="L64" i="5"/>
  <c r="I10" i="5" l="1"/>
  <c r="I9" i="5"/>
  <c r="I8" i="5"/>
  <c r="I10" i="4"/>
  <c r="I9" i="4"/>
  <c r="I8" i="4"/>
  <c r="I10" i="3"/>
  <c r="I9" i="3"/>
  <c r="I8" i="3"/>
  <c r="I10" i="2"/>
  <c r="I9" i="2"/>
  <c r="I8" i="2"/>
  <c r="I10" i="1"/>
  <c r="I9" i="1"/>
  <c r="I8" i="1"/>
  <c r="M64" i="5" l="1"/>
  <c r="M63" i="5"/>
  <c r="N63" i="5" s="1"/>
  <c r="M62" i="5"/>
  <c r="M61" i="5"/>
  <c r="N61" i="5" s="1"/>
  <c r="M59" i="5"/>
  <c r="M58" i="5"/>
  <c r="M57" i="5"/>
  <c r="L62" i="5"/>
  <c r="L60" i="5"/>
  <c r="L58" i="5"/>
  <c r="O58" i="5" s="1"/>
  <c r="M54" i="5"/>
  <c r="M55" i="5"/>
  <c r="L56" i="5"/>
  <c r="O56" i="5" s="1"/>
  <c r="L54" i="5"/>
  <c r="H63" i="5"/>
  <c r="H62" i="5"/>
  <c r="H60" i="5"/>
  <c r="H58" i="5"/>
  <c r="H57" i="5"/>
  <c r="J57" i="5" s="1"/>
  <c r="H55" i="5"/>
  <c r="I55" i="5" s="1"/>
  <c r="H54" i="5"/>
  <c r="G64" i="5"/>
  <c r="J64" i="5" s="1"/>
  <c r="J63" i="5"/>
  <c r="G62" i="5"/>
  <c r="J62" i="5" s="1"/>
  <c r="G61" i="5"/>
  <c r="J61" i="5" s="1"/>
  <c r="J60" i="5"/>
  <c r="G59" i="5"/>
  <c r="J59" i="5" s="1"/>
  <c r="G58" i="5"/>
  <c r="G56" i="5"/>
  <c r="J56" i="5" s="1"/>
  <c r="G54" i="5"/>
  <c r="J54" i="5" s="1"/>
  <c r="J53" i="5"/>
  <c r="C64" i="5"/>
  <c r="E64" i="5" s="1"/>
  <c r="C63" i="5"/>
  <c r="E63" i="5" s="1"/>
  <c r="C60" i="5"/>
  <c r="E60" i="5" s="1"/>
  <c r="C58" i="5"/>
  <c r="C57" i="5"/>
  <c r="C56" i="5"/>
  <c r="C54" i="5"/>
  <c r="B62" i="5"/>
  <c r="E62" i="5" s="1"/>
  <c r="B61" i="5"/>
  <c r="E61" i="5" s="1"/>
  <c r="B59" i="5"/>
  <c r="E59" i="5" s="1"/>
  <c r="B57" i="5"/>
  <c r="E57" i="5" s="1"/>
  <c r="E56" i="5"/>
  <c r="B55" i="5"/>
  <c r="E55" i="5" s="1"/>
  <c r="B54" i="5"/>
  <c r="E53" i="5"/>
  <c r="AV16" i="4"/>
  <c r="AV15" i="4"/>
  <c r="AV14" i="4"/>
  <c r="AV13" i="4"/>
  <c r="AV12" i="4"/>
  <c r="AV11" i="4"/>
  <c r="AV10" i="4"/>
  <c r="AV9" i="4"/>
  <c r="AV8" i="4"/>
  <c r="AV7" i="4"/>
  <c r="AV6" i="4"/>
  <c r="AV5" i="4"/>
  <c r="AU16" i="4"/>
  <c r="AX16" i="4" s="1"/>
  <c r="AU15" i="4"/>
  <c r="AX15" i="4" s="1"/>
  <c r="AU14" i="4"/>
  <c r="AX14" i="4" s="1"/>
  <c r="AU13" i="4"/>
  <c r="AX13" i="4" s="1"/>
  <c r="AU12" i="4"/>
  <c r="AX12" i="4" s="1"/>
  <c r="AU11" i="4"/>
  <c r="AX11" i="4" s="1"/>
  <c r="AU10" i="4"/>
  <c r="AX10" i="4" s="1"/>
  <c r="AX9" i="4"/>
  <c r="AU8" i="4"/>
  <c r="AX8" i="4" s="1"/>
  <c r="AU7" i="4"/>
  <c r="AX7" i="4" s="1"/>
  <c r="AX6" i="4"/>
  <c r="AX5" i="4"/>
  <c r="AQ16" i="4"/>
  <c r="AQ15" i="4"/>
  <c r="AQ14" i="4"/>
  <c r="AQ13" i="4"/>
  <c r="AQ12" i="4"/>
  <c r="AQ11" i="4"/>
  <c r="AQ10" i="4"/>
  <c r="AQ9" i="4"/>
  <c r="AQ8" i="4"/>
  <c r="AQ7" i="4"/>
  <c r="AQ6" i="4"/>
  <c r="AQ5" i="4"/>
  <c r="AP16" i="4"/>
  <c r="AS16" i="4" s="1"/>
  <c r="AP15" i="4"/>
  <c r="AS15" i="4" s="1"/>
  <c r="AS14" i="4"/>
  <c r="AP13" i="4"/>
  <c r="AS13" i="4" s="1"/>
  <c r="AP12" i="4"/>
  <c r="AS12" i="4" s="1"/>
  <c r="AP11" i="4"/>
  <c r="AS11" i="4" s="1"/>
  <c r="AS10" i="4"/>
  <c r="AS9" i="4"/>
  <c r="AP8" i="4"/>
  <c r="AS8" i="4" s="1"/>
  <c r="AP7" i="4"/>
  <c r="AS7" i="4" s="1"/>
  <c r="AP6" i="4"/>
  <c r="AS6" i="4" s="1"/>
  <c r="AP5" i="4"/>
  <c r="AS5" i="4" s="1"/>
  <c r="AL16" i="4"/>
  <c r="AL15" i="4"/>
  <c r="AL14" i="4"/>
  <c r="AL13" i="4"/>
  <c r="AL12" i="4"/>
  <c r="AL11" i="4"/>
  <c r="AL10" i="4"/>
  <c r="AN10" i="4" s="1"/>
  <c r="AL9" i="4"/>
  <c r="AL8" i="4"/>
  <c r="AL7" i="4"/>
  <c r="AL6" i="4"/>
  <c r="AK16" i="4"/>
  <c r="AK15" i="4"/>
  <c r="AK14" i="4"/>
  <c r="AK13" i="4"/>
  <c r="AK12" i="4"/>
  <c r="AK11" i="4"/>
  <c r="AN11" i="4" s="1"/>
  <c r="AK9" i="4"/>
  <c r="AK8" i="4"/>
  <c r="AK7" i="4"/>
  <c r="AN7" i="4" s="1"/>
  <c r="AK6" i="4"/>
  <c r="AK5" i="4"/>
  <c r="AN5" i="4" s="1"/>
  <c r="AV16" i="3"/>
  <c r="AV15" i="3"/>
  <c r="AV14" i="3"/>
  <c r="AV13" i="3"/>
  <c r="AV12" i="3"/>
  <c r="AV11" i="3"/>
  <c r="AV10" i="3"/>
  <c r="AV9" i="3"/>
  <c r="AV8" i="3"/>
  <c r="AV7" i="3"/>
  <c r="AV6" i="3"/>
  <c r="AV5" i="3"/>
  <c r="AU16" i="3"/>
  <c r="AX16" i="3" s="1"/>
  <c r="AU15" i="3"/>
  <c r="AX15" i="3" s="1"/>
  <c r="AU14" i="3"/>
  <c r="AX14" i="3" s="1"/>
  <c r="AU13" i="3"/>
  <c r="AX13" i="3" s="1"/>
  <c r="AU12" i="3"/>
  <c r="AX12" i="3" s="1"/>
  <c r="AU11" i="3"/>
  <c r="AX11" i="3" s="1"/>
  <c r="AU10" i="3"/>
  <c r="AX10" i="3" s="1"/>
  <c r="AU9" i="3"/>
  <c r="AX9" i="3" s="1"/>
  <c r="AU8" i="3"/>
  <c r="AX8" i="3" s="1"/>
  <c r="AU7" i="3"/>
  <c r="AX7" i="3" s="1"/>
  <c r="AU6" i="3"/>
  <c r="AX6" i="3" s="1"/>
  <c r="AU5" i="3"/>
  <c r="AX5" i="3" s="1"/>
  <c r="AQ16" i="3"/>
  <c r="AQ15" i="3"/>
  <c r="AQ14" i="3"/>
  <c r="AQ13" i="3"/>
  <c r="AQ12" i="3"/>
  <c r="AQ11" i="3"/>
  <c r="AQ10" i="3"/>
  <c r="AQ9" i="3"/>
  <c r="AQ8" i="3"/>
  <c r="AQ7" i="3"/>
  <c r="AQ6" i="3"/>
  <c r="AQ5" i="3"/>
  <c r="AP16" i="3"/>
  <c r="AS16" i="3" s="1"/>
  <c r="AP15" i="3"/>
  <c r="AS15" i="3" s="1"/>
  <c r="AP14" i="3"/>
  <c r="AS14" i="3" s="1"/>
  <c r="AP13" i="3"/>
  <c r="AS13" i="3" s="1"/>
  <c r="AP12" i="3"/>
  <c r="AS12" i="3" s="1"/>
  <c r="AP11" i="3"/>
  <c r="AS11" i="3" s="1"/>
  <c r="AP10" i="3"/>
  <c r="AS10" i="3" s="1"/>
  <c r="AP9" i="3"/>
  <c r="AS9" i="3" s="1"/>
  <c r="AP8" i="3"/>
  <c r="AS8" i="3" s="1"/>
  <c r="AP7" i="3"/>
  <c r="AS7" i="3" s="1"/>
  <c r="AP6" i="3"/>
  <c r="AS6" i="3" s="1"/>
  <c r="AP5" i="3"/>
  <c r="AS5" i="3" s="1"/>
  <c r="AL16" i="3"/>
  <c r="AL15" i="3"/>
  <c r="AL14" i="3"/>
  <c r="AL13" i="3"/>
  <c r="AL12" i="3"/>
  <c r="AL11" i="3"/>
  <c r="AL10" i="3"/>
  <c r="AL9" i="3"/>
  <c r="AL8" i="3"/>
  <c r="AL7" i="3"/>
  <c r="AL6" i="3"/>
  <c r="AL5" i="3"/>
  <c r="AK16" i="3"/>
  <c r="AN16" i="3" s="1"/>
  <c r="AK15" i="3"/>
  <c r="AN15" i="3" s="1"/>
  <c r="AK14" i="3"/>
  <c r="AN14" i="3" s="1"/>
  <c r="AK13" i="3"/>
  <c r="AN13" i="3" s="1"/>
  <c r="AK12" i="3"/>
  <c r="AN12" i="3" s="1"/>
  <c r="AK11" i="3"/>
  <c r="AN11" i="3" s="1"/>
  <c r="AK10" i="3"/>
  <c r="AN10" i="3" s="1"/>
  <c r="AK9" i="3"/>
  <c r="AN9" i="3" s="1"/>
  <c r="AK8" i="3"/>
  <c r="AN8" i="3" s="1"/>
  <c r="AK7" i="3"/>
  <c r="AN7" i="3" s="1"/>
  <c r="AK6" i="3"/>
  <c r="AN6" i="3" s="1"/>
  <c r="AK5" i="3"/>
  <c r="AN5" i="3" s="1"/>
  <c r="AV15" i="2"/>
  <c r="AV14" i="2"/>
  <c r="AV13" i="2"/>
  <c r="AV12" i="2"/>
  <c r="AV11" i="2"/>
  <c r="AV10" i="2"/>
  <c r="AV9" i="2"/>
  <c r="AV8" i="2"/>
  <c r="AV7" i="2"/>
  <c r="AV6" i="2"/>
  <c r="AV5" i="2"/>
  <c r="AV16" i="2"/>
  <c r="AU16" i="2"/>
  <c r="AX16" i="2" s="1"/>
  <c r="AU15" i="2"/>
  <c r="AU14" i="2"/>
  <c r="AU13" i="2"/>
  <c r="AU12" i="2"/>
  <c r="AX12" i="2" s="1"/>
  <c r="AU11" i="2"/>
  <c r="AU10" i="2"/>
  <c r="AU9" i="2"/>
  <c r="AU8" i="2"/>
  <c r="AX8" i="2" s="1"/>
  <c r="AU7" i="2"/>
  <c r="AU6" i="2"/>
  <c r="AU5" i="2"/>
  <c r="AQ16" i="2"/>
  <c r="AQ15" i="2"/>
  <c r="AQ14" i="2"/>
  <c r="AQ13" i="2"/>
  <c r="AQ12" i="2"/>
  <c r="AQ11" i="2"/>
  <c r="AQ10" i="2"/>
  <c r="AQ9" i="2"/>
  <c r="AQ8" i="2"/>
  <c r="AQ7" i="2"/>
  <c r="AQ6" i="2"/>
  <c r="AQ5" i="2"/>
  <c r="AP16" i="2"/>
  <c r="AS16" i="2" s="1"/>
  <c r="AP15" i="2"/>
  <c r="AS15" i="2" s="1"/>
  <c r="AP14" i="2"/>
  <c r="AS14" i="2" s="1"/>
  <c r="AP13" i="2"/>
  <c r="AS13" i="2" s="1"/>
  <c r="AP12" i="2"/>
  <c r="AS12" i="2" s="1"/>
  <c r="AP11" i="2"/>
  <c r="AS11" i="2" s="1"/>
  <c r="AP10" i="2"/>
  <c r="AS10" i="2" s="1"/>
  <c r="AP9" i="2"/>
  <c r="AS9" i="2" s="1"/>
  <c r="AP8" i="2"/>
  <c r="AS8" i="2" s="1"/>
  <c r="AP7" i="2"/>
  <c r="AS7" i="2" s="1"/>
  <c r="AP6" i="2"/>
  <c r="AS6" i="2" s="1"/>
  <c r="AP5" i="2"/>
  <c r="AS5" i="2" s="1"/>
  <c r="AL16" i="2"/>
  <c r="AL15" i="2"/>
  <c r="AL14" i="2"/>
  <c r="AL13" i="2"/>
  <c r="AL12" i="2"/>
  <c r="AL11" i="2"/>
  <c r="AL10" i="2"/>
  <c r="AL9" i="2"/>
  <c r="AL8" i="2"/>
  <c r="AL7" i="2"/>
  <c r="AL6" i="2"/>
  <c r="AL5" i="2"/>
  <c r="AK16" i="2"/>
  <c r="AK15" i="2"/>
  <c r="AN15" i="2" s="1"/>
  <c r="AK14" i="2"/>
  <c r="AN14" i="2" s="1"/>
  <c r="AK13" i="2"/>
  <c r="AN13" i="2" s="1"/>
  <c r="AK12" i="2"/>
  <c r="AN12" i="2" s="1"/>
  <c r="AK11" i="2"/>
  <c r="AN11" i="2" s="1"/>
  <c r="AK10" i="2"/>
  <c r="AN10" i="2" s="1"/>
  <c r="AK9" i="2"/>
  <c r="AN9" i="2" s="1"/>
  <c r="AK8" i="2"/>
  <c r="AN8" i="2" s="1"/>
  <c r="AK7" i="2"/>
  <c r="AN7" i="2" s="1"/>
  <c r="AK6" i="2"/>
  <c r="AN6" i="2" s="1"/>
  <c r="AK5" i="2"/>
  <c r="AN5" i="2" s="1"/>
  <c r="AV16" i="1"/>
  <c r="AV15" i="1"/>
  <c r="AV14" i="1"/>
  <c r="AV13" i="1"/>
  <c r="AV12" i="1"/>
  <c r="AV11" i="1"/>
  <c r="AV10" i="1"/>
  <c r="AV9" i="1"/>
  <c r="AV8" i="1"/>
  <c r="AV7" i="1"/>
  <c r="AV6" i="1"/>
  <c r="AV5" i="1"/>
  <c r="AU16" i="1"/>
  <c r="AX16" i="1" s="1"/>
  <c r="D14" i="1" s="1"/>
  <c r="AU15" i="1"/>
  <c r="AX15" i="1" s="1"/>
  <c r="D13" i="1" s="1"/>
  <c r="AU14" i="1"/>
  <c r="AX14" i="1" s="1"/>
  <c r="D12" i="1" s="1"/>
  <c r="AU13" i="1"/>
  <c r="AX13" i="1" s="1"/>
  <c r="D11" i="1" s="1"/>
  <c r="AU12" i="1"/>
  <c r="AX12" i="1" s="1"/>
  <c r="D10" i="1" s="1"/>
  <c r="AU11" i="1"/>
  <c r="AX11" i="1" s="1"/>
  <c r="D9" i="1" s="1"/>
  <c r="AU10" i="1"/>
  <c r="AX10" i="1" s="1"/>
  <c r="D8" i="1" s="1"/>
  <c r="AU9" i="1"/>
  <c r="AX9" i="1" s="1"/>
  <c r="D7" i="1" s="1"/>
  <c r="AU8" i="1"/>
  <c r="AX8" i="1" s="1"/>
  <c r="D6" i="1" s="1"/>
  <c r="AU7" i="1"/>
  <c r="AX7" i="1" s="1"/>
  <c r="D5" i="1" s="1"/>
  <c r="AU6" i="1"/>
  <c r="AX6" i="1" s="1"/>
  <c r="D4" i="1" s="1"/>
  <c r="AU5" i="1"/>
  <c r="AX5" i="1" s="1"/>
  <c r="D3" i="1" s="1"/>
  <c r="AQ16" i="1"/>
  <c r="AQ15" i="1"/>
  <c r="AQ14" i="1"/>
  <c r="AQ13" i="1"/>
  <c r="AQ12" i="1"/>
  <c r="AQ11" i="1"/>
  <c r="AQ10" i="1"/>
  <c r="AQ9" i="1"/>
  <c r="AQ8" i="1"/>
  <c r="AQ7" i="1"/>
  <c r="AQ6" i="1"/>
  <c r="AQ5" i="1"/>
  <c r="AP16" i="1"/>
  <c r="AS16" i="1" s="1"/>
  <c r="C14" i="1" s="1"/>
  <c r="AP15" i="1"/>
  <c r="AS15" i="1" s="1"/>
  <c r="C13" i="1" s="1"/>
  <c r="AP14" i="1"/>
  <c r="AS14" i="1" s="1"/>
  <c r="C12" i="1" s="1"/>
  <c r="AP13" i="1"/>
  <c r="AS13" i="1" s="1"/>
  <c r="C11" i="1" s="1"/>
  <c r="AP12" i="1"/>
  <c r="AS12" i="1" s="1"/>
  <c r="C10" i="1" s="1"/>
  <c r="AP11" i="1"/>
  <c r="AS11" i="1" s="1"/>
  <c r="C9" i="1" s="1"/>
  <c r="AP10" i="1"/>
  <c r="AS10" i="1" s="1"/>
  <c r="C8" i="1" s="1"/>
  <c r="AP9" i="1"/>
  <c r="AS9" i="1" s="1"/>
  <c r="C7" i="1" s="1"/>
  <c r="AP8" i="1"/>
  <c r="AS8" i="1" s="1"/>
  <c r="C6" i="1" s="1"/>
  <c r="AP7" i="1"/>
  <c r="AS7" i="1" s="1"/>
  <c r="C5" i="1" s="1"/>
  <c r="AP6" i="1"/>
  <c r="AS6" i="1" s="1"/>
  <c r="C4" i="1" s="1"/>
  <c r="AP5" i="1"/>
  <c r="AS5" i="1" s="1"/>
  <c r="C3" i="1" s="1"/>
  <c r="AK6" i="1"/>
  <c r="AL16" i="1"/>
  <c r="AL15" i="1"/>
  <c r="AL14" i="1"/>
  <c r="AK16" i="1"/>
  <c r="AK15" i="1"/>
  <c r="AK14" i="1"/>
  <c r="AK13" i="1"/>
  <c r="AL13" i="1"/>
  <c r="AL12" i="1"/>
  <c r="AK12" i="1"/>
  <c r="AK11" i="1"/>
  <c r="AL11" i="1"/>
  <c r="AL10" i="1"/>
  <c r="AK10" i="1"/>
  <c r="AK9" i="1"/>
  <c r="AL9" i="1"/>
  <c r="AL8" i="1"/>
  <c r="AL7" i="1"/>
  <c r="AK8" i="1"/>
  <c r="AK7" i="1"/>
  <c r="AL6" i="1"/>
  <c r="AL5" i="1"/>
  <c r="AK5" i="1"/>
  <c r="N53" i="5"/>
  <c r="D55" i="5"/>
  <c r="I13" i="5"/>
  <c r="I12" i="5" s="1"/>
  <c r="I61" i="5"/>
  <c r="N55" i="5"/>
  <c r="AW15" i="4"/>
  <c r="AR7" i="4"/>
  <c r="C5" i="4" s="1"/>
  <c r="AR11" i="4"/>
  <c r="I13" i="4"/>
  <c r="I12" i="4" s="1"/>
  <c r="O9" i="4" s="1"/>
  <c r="I11" i="4"/>
  <c r="AW5" i="4"/>
  <c r="D3" i="4" s="1"/>
  <c r="AR5" i="3"/>
  <c r="AR13" i="3"/>
  <c r="I13" i="3"/>
  <c r="I11" i="3"/>
  <c r="AM5" i="3"/>
  <c r="I13" i="2"/>
  <c r="I12" i="2" s="1"/>
  <c r="I11" i="2"/>
  <c r="AM13" i="2"/>
  <c r="B11" i="2" s="1"/>
  <c r="AW11" i="1"/>
  <c r="AM10" i="1"/>
  <c r="I13" i="1"/>
  <c r="I12" i="1" s="1"/>
  <c r="O8" i="1" s="1"/>
  <c r="AW15" i="1"/>
  <c r="AW6" i="1"/>
  <c r="C11" i="3" l="1"/>
  <c r="B3" i="3"/>
  <c r="C3" i="3"/>
  <c r="D13" i="4"/>
  <c r="C9" i="4"/>
  <c r="B5" i="5"/>
  <c r="AW11" i="3"/>
  <c r="D9" i="3" s="1"/>
  <c r="D59" i="5"/>
  <c r="D57" i="5"/>
  <c r="B7" i="5" s="1"/>
  <c r="AM12" i="1"/>
  <c r="AN6" i="4"/>
  <c r="AN14" i="4"/>
  <c r="J58" i="5"/>
  <c r="O62" i="5"/>
  <c r="AR7" i="2"/>
  <c r="C5" i="2" s="1"/>
  <c r="AW11" i="2"/>
  <c r="AR7" i="3"/>
  <c r="C5" i="3" s="1"/>
  <c r="AM7" i="4"/>
  <c r="B5" i="4" s="1"/>
  <c r="D61" i="5"/>
  <c r="AN9" i="4"/>
  <c r="AN13" i="4"/>
  <c r="E54" i="5"/>
  <c r="O54" i="5"/>
  <c r="AR11" i="3"/>
  <c r="C9" i="3" s="1"/>
  <c r="AN8" i="4"/>
  <c r="AN12" i="4"/>
  <c r="AN16" i="4"/>
  <c r="J55" i="5"/>
  <c r="C5" i="5" s="1"/>
  <c r="AW9" i="2"/>
  <c r="B11" i="5"/>
  <c r="C11" i="5"/>
  <c r="B9" i="5"/>
  <c r="D54" i="5"/>
  <c r="D62" i="5"/>
  <c r="B12" i="5" s="1"/>
  <c r="AM8" i="1"/>
  <c r="AW13" i="1"/>
  <c r="AR13" i="1"/>
  <c r="AN7" i="1"/>
  <c r="B5" i="1" s="1"/>
  <c r="F5" i="1" s="1"/>
  <c r="AW9" i="1"/>
  <c r="AR14" i="2"/>
  <c r="C12" i="2" s="1"/>
  <c r="AW6" i="4"/>
  <c r="D4" i="4" s="1"/>
  <c r="AN14" i="1"/>
  <c r="B12" i="1" s="1"/>
  <c r="E12" i="1" s="1"/>
  <c r="O7" i="2"/>
  <c r="N8" i="2"/>
  <c r="AN16" i="1"/>
  <c r="B14" i="1" s="1"/>
  <c r="F14" i="1" s="1"/>
  <c r="AM7" i="1"/>
  <c r="AM5" i="2"/>
  <c r="B3" i="2" s="1"/>
  <c r="AW9" i="3"/>
  <c r="D7" i="3" s="1"/>
  <c r="AM5" i="4"/>
  <c r="B3" i="4" s="1"/>
  <c r="D53" i="5"/>
  <c r="B3" i="5" s="1"/>
  <c r="AX6" i="2"/>
  <c r="AX10" i="2"/>
  <c r="AX14" i="2"/>
  <c r="O60" i="5"/>
  <c r="O64" i="5"/>
  <c r="AN16" i="2"/>
  <c r="AR7" i="1"/>
  <c r="AM12" i="2"/>
  <c r="B10" i="2" s="1"/>
  <c r="I56" i="5"/>
  <c r="C6" i="5" s="1"/>
  <c r="AN6" i="1"/>
  <c r="B4" i="1" s="1"/>
  <c r="F4" i="1" s="1"/>
  <c r="AR15" i="1"/>
  <c r="AM9" i="2"/>
  <c r="B7" i="2" s="1"/>
  <c r="AR9" i="3"/>
  <c r="C7" i="3" s="1"/>
  <c r="AR5" i="4"/>
  <c r="C3" i="4" s="1"/>
  <c r="AM9" i="4"/>
  <c r="B7" i="4" s="1"/>
  <c r="AM12" i="4"/>
  <c r="B10" i="4" s="1"/>
  <c r="D60" i="5"/>
  <c r="B10" i="5" s="1"/>
  <c r="AN10" i="1"/>
  <c r="B8" i="1" s="1"/>
  <c r="F8" i="1" s="1"/>
  <c r="AN12" i="1"/>
  <c r="B10" i="1" s="1"/>
  <c r="E10" i="1" s="1"/>
  <c r="F12" i="1"/>
  <c r="O55" i="5"/>
  <c r="D5" i="5" s="1"/>
  <c r="AR10" i="1"/>
  <c r="AW12" i="1"/>
  <c r="AW6" i="2"/>
  <c r="D4" i="2" s="1"/>
  <c r="AM14" i="2"/>
  <c r="B12" i="2" s="1"/>
  <c r="AW8" i="2"/>
  <c r="D6" i="2" s="1"/>
  <c r="AM10" i="3"/>
  <c r="B8" i="3" s="1"/>
  <c r="AW6" i="3"/>
  <c r="D4" i="3" s="1"/>
  <c r="AR10" i="4"/>
  <c r="C8" i="4" s="1"/>
  <c r="AR14" i="4"/>
  <c r="C12" i="4" s="1"/>
  <c r="AW10" i="4"/>
  <c r="D8" i="4" s="1"/>
  <c r="N54" i="5"/>
  <c r="D4" i="5" s="1"/>
  <c r="I58" i="5"/>
  <c r="I64" i="5"/>
  <c r="C14" i="5" s="1"/>
  <c r="AN5" i="1"/>
  <c r="B3" i="1" s="1"/>
  <c r="F3" i="1" s="1"/>
  <c r="AN8" i="1"/>
  <c r="B6" i="1" s="1"/>
  <c r="F6" i="1" s="1"/>
  <c r="AN9" i="1"/>
  <c r="B7" i="1" s="1"/>
  <c r="F7" i="1" s="1"/>
  <c r="AN11" i="1"/>
  <c r="B9" i="1" s="1"/>
  <c r="F9" i="1" s="1"/>
  <c r="AN13" i="1"/>
  <c r="B11" i="1" s="1"/>
  <c r="F11" i="1" s="1"/>
  <c r="AX5" i="2"/>
  <c r="AX9" i="2"/>
  <c r="D7" i="2" s="1"/>
  <c r="AX13" i="2"/>
  <c r="O53" i="5"/>
  <c r="D3" i="5" s="1"/>
  <c r="O59" i="5"/>
  <c r="O63" i="5"/>
  <c r="D13" i="5" s="1"/>
  <c r="AR8" i="1"/>
  <c r="AR16" i="1"/>
  <c r="AR12" i="1"/>
  <c r="AR16" i="2"/>
  <c r="C14" i="2" s="1"/>
  <c r="AW12" i="3"/>
  <c r="D10" i="3" s="1"/>
  <c r="AM16" i="3"/>
  <c r="B14" i="3" s="1"/>
  <c r="AW8" i="3"/>
  <c r="D6" i="3" s="1"/>
  <c r="AM8" i="4"/>
  <c r="AR12" i="4"/>
  <c r="C10" i="4" s="1"/>
  <c r="AW12" i="4"/>
  <c r="D10" i="4" s="1"/>
  <c r="D58" i="5"/>
  <c r="E58" i="5"/>
  <c r="AR6" i="1"/>
  <c r="AW16" i="1"/>
  <c r="AM16" i="1"/>
  <c r="AW10" i="2"/>
  <c r="AW16" i="2"/>
  <c r="D14" i="2" s="1"/>
  <c r="AR10" i="2"/>
  <c r="C8" i="2" s="1"/>
  <c r="AW14" i="2"/>
  <c r="AR16" i="3"/>
  <c r="C14" i="3" s="1"/>
  <c r="AM10" i="4"/>
  <c r="B8" i="4" s="1"/>
  <c r="D56" i="5"/>
  <c r="B6" i="5" s="1"/>
  <c r="I62" i="5"/>
  <c r="C12" i="5" s="1"/>
  <c r="I60" i="5"/>
  <c r="C10" i="5" s="1"/>
  <c r="N58" i="5"/>
  <c r="D8" i="5" s="1"/>
  <c r="AN15" i="1"/>
  <c r="B13" i="1" s="1"/>
  <c r="F13" i="1" s="1"/>
  <c r="D15" i="1"/>
  <c r="AX7" i="2"/>
  <c r="AX11" i="2"/>
  <c r="D9" i="2" s="1"/>
  <c r="AX15" i="2"/>
  <c r="AM15" i="4"/>
  <c r="AN15" i="4"/>
  <c r="O57" i="5"/>
  <c r="O61" i="5"/>
  <c r="D11" i="5" s="1"/>
  <c r="N10" i="5"/>
  <c r="O8" i="4"/>
  <c r="N7" i="4"/>
  <c r="N9" i="2"/>
  <c r="O10" i="1"/>
  <c r="N9" i="1"/>
  <c r="N8" i="1"/>
  <c r="O9" i="1"/>
  <c r="N10" i="1"/>
  <c r="C15" i="1"/>
  <c r="N64" i="5"/>
  <c r="D14" i="5" s="1"/>
  <c r="N62" i="5"/>
  <c r="D12" i="5" s="1"/>
  <c r="N60" i="5"/>
  <c r="N59" i="5"/>
  <c r="N57" i="5"/>
  <c r="N56" i="5"/>
  <c r="D6" i="5" s="1"/>
  <c r="I53" i="5"/>
  <c r="C3" i="5" s="1"/>
  <c r="I54" i="5"/>
  <c r="C4" i="5" s="1"/>
  <c r="I57" i="5"/>
  <c r="C7" i="5" s="1"/>
  <c r="I59" i="5"/>
  <c r="C9" i="5" s="1"/>
  <c r="I63" i="5"/>
  <c r="C13" i="5" s="1"/>
  <c r="D64" i="5"/>
  <c r="B14" i="5" s="1"/>
  <c r="D63" i="5"/>
  <c r="B13" i="5" s="1"/>
  <c r="O9" i="5"/>
  <c r="O7" i="5"/>
  <c r="N7" i="5"/>
  <c r="O10" i="5"/>
  <c r="N9" i="5"/>
  <c r="O8" i="5"/>
  <c r="I11" i="5"/>
  <c r="N8" i="5"/>
  <c r="AW16" i="4"/>
  <c r="D14" i="4" s="1"/>
  <c r="AW14" i="4"/>
  <c r="D12" i="4" s="1"/>
  <c r="AW13" i="4"/>
  <c r="D11" i="4" s="1"/>
  <c r="AW11" i="4"/>
  <c r="D9" i="4" s="1"/>
  <c r="AW9" i="4"/>
  <c r="D7" i="4" s="1"/>
  <c r="AW8" i="4"/>
  <c r="D6" i="4" s="1"/>
  <c r="AW7" i="4"/>
  <c r="D5" i="4" s="1"/>
  <c r="E5" i="4" s="1"/>
  <c r="AR6" i="4"/>
  <c r="C4" i="4" s="1"/>
  <c r="AR8" i="4"/>
  <c r="C6" i="4" s="1"/>
  <c r="AR9" i="4"/>
  <c r="C7" i="4" s="1"/>
  <c r="AR13" i="4"/>
  <c r="C11" i="4" s="1"/>
  <c r="AR15" i="4"/>
  <c r="C13" i="4" s="1"/>
  <c r="AR16" i="4"/>
  <c r="C14" i="4" s="1"/>
  <c r="AM16" i="4"/>
  <c r="B14" i="4" s="1"/>
  <c r="AM14" i="4"/>
  <c r="B12" i="4" s="1"/>
  <c r="AM13" i="4"/>
  <c r="AM11" i="4"/>
  <c r="AM6" i="4"/>
  <c r="O10" i="4"/>
  <c r="O7" i="4"/>
  <c r="O11" i="4"/>
  <c r="N9" i="4"/>
  <c r="N11" i="4"/>
  <c r="N10" i="4"/>
  <c r="N8" i="4"/>
  <c r="AW16" i="3"/>
  <c r="D14" i="3" s="1"/>
  <c r="AW15" i="3"/>
  <c r="D13" i="3" s="1"/>
  <c r="AW14" i="3"/>
  <c r="D12" i="3" s="1"/>
  <c r="AW13" i="3"/>
  <c r="D11" i="3" s="1"/>
  <c r="AW10" i="3"/>
  <c r="D8" i="3" s="1"/>
  <c r="AW7" i="3"/>
  <c r="D5" i="3" s="1"/>
  <c r="AW5" i="3"/>
  <c r="D3" i="3" s="1"/>
  <c r="E3" i="3" s="1"/>
  <c r="AR6" i="3"/>
  <c r="C4" i="3" s="1"/>
  <c r="AR8" i="3"/>
  <c r="C6" i="3" s="1"/>
  <c r="AR10" i="3"/>
  <c r="C8" i="3" s="1"/>
  <c r="AR12" i="3"/>
  <c r="C10" i="3" s="1"/>
  <c r="AR14" i="3"/>
  <c r="C12" i="3" s="1"/>
  <c r="AR15" i="3"/>
  <c r="C13" i="3" s="1"/>
  <c r="AM15" i="3"/>
  <c r="B13" i="3" s="1"/>
  <c r="AM14" i="3"/>
  <c r="B12" i="3" s="1"/>
  <c r="AM13" i="3"/>
  <c r="B11" i="3" s="1"/>
  <c r="F11" i="3" s="1"/>
  <c r="AM12" i="3"/>
  <c r="B10" i="3" s="1"/>
  <c r="AM11" i="3"/>
  <c r="B9" i="3" s="1"/>
  <c r="AM9" i="3"/>
  <c r="B7" i="3" s="1"/>
  <c r="AM8" i="3"/>
  <c r="B6" i="3" s="1"/>
  <c r="AM7" i="3"/>
  <c r="B5" i="3" s="1"/>
  <c r="AM6" i="3"/>
  <c r="B4" i="3" s="1"/>
  <c r="I12" i="3"/>
  <c r="N10" i="3" s="1"/>
  <c r="AW15" i="2"/>
  <c r="AW13" i="2"/>
  <c r="AW12" i="2"/>
  <c r="D10" i="2" s="1"/>
  <c r="AW5" i="2"/>
  <c r="D3" i="2" s="1"/>
  <c r="AR5" i="2"/>
  <c r="C3" i="2" s="1"/>
  <c r="AR6" i="2"/>
  <c r="C4" i="2" s="1"/>
  <c r="AR9" i="2"/>
  <c r="C7" i="2" s="1"/>
  <c r="AR11" i="2"/>
  <c r="C9" i="2" s="1"/>
  <c r="AR12" i="2"/>
  <c r="C10" i="2" s="1"/>
  <c r="AR13" i="2"/>
  <c r="C11" i="2" s="1"/>
  <c r="AR15" i="2"/>
  <c r="C13" i="2" s="1"/>
  <c r="AM16" i="2"/>
  <c r="B14" i="2" s="1"/>
  <c r="AM15" i="2"/>
  <c r="B13" i="2" s="1"/>
  <c r="AM11" i="2"/>
  <c r="B9" i="2" s="1"/>
  <c r="AM10" i="2"/>
  <c r="B8" i="2" s="1"/>
  <c r="AM8" i="2"/>
  <c r="B6" i="2" s="1"/>
  <c r="AM6" i="2"/>
  <c r="B4" i="2" s="1"/>
  <c r="O10" i="2"/>
  <c r="AM7" i="2"/>
  <c r="B5" i="2" s="1"/>
  <c r="AW7" i="2"/>
  <c r="AR8" i="2"/>
  <c r="C6" i="2" s="1"/>
  <c r="N7" i="2"/>
  <c r="O8" i="2"/>
  <c r="O9" i="2"/>
  <c r="N11" i="2"/>
  <c r="N10" i="2"/>
  <c r="O11" i="2"/>
  <c r="AW5" i="1"/>
  <c r="AW7" i="1"/>
  <c r="AW8" i="1"/>
  <c r="AW10" i="1"/>
  <c r="AW14" i="1"/>
  <c r="AR14" i="1"/>
  <c r="AR11" i="1"/>
  <c r="AR9" i="1"/>
  <c r="AR5" i="1"/>
  <c r="AM15" i="1"/>
  <c r="AM14" i="1"/>
  <c r="AM13" i="1"/>
  <c r="AM11" i="1"/>
  <c r="AM9" i="1"/>
  <c r="AM6" i="1"/>
  <c r="AM5" i="1"/>
  <c r="I11" i="1"/>
  <c r="O7" i="1"/>
  <c r="N7" i="1"/>
  <c r="E3" i="1" l="1"/>
  <c r="C8" i="5"/>
  <c r="B4" i="5"/>
  <c r="E5" i="1"/>
  <c r="B22" i="1" s="1"/>
  <c r="B6" i="4"/>
  <c r="E6" i="4" s="1"/>
  <c r="B23" i="4" s="1"/>
  <c r="E14" i="1"/>
  <c r="E4" i="5"/>
  <c r="B11" i="4"/>
  <c r="F11" i="4" s="1"/>
  <c r="D7" i="5"/>
  <c r="E7" i="5" s="1"/>
  <c r="C20" i="5" s="1"/>
  <c r="E7" i="2"/>
  <c r="F10" i="2"/>
  <c r="D8" i="2"/>
  <c r="E8" i="2" s="1"/>
  <c r="C21" i="2" s="1"/>
  <c r="E3" i="4"/>
  <c r="B20" i="4" s="1"/>
  <c r="F3" i="4"/>
  <c r="D5" i="2"/>
  <c r="F5" i="2" s="1"/>
  <c r="F6" i="2"/>
  <c r="F3" i="2"/>
  <c r="F12" i="3"/>
  <c r="E11" i="1"/>
  <c r="D20" i="1" s="1"/>
  <c r="E8" i="4"/>
  <c r="C21" i="4" s="1"/>
  <c r="F10" i="4"/>
  <c r="F5" i="5"/>
  <c r="E5" i="5"/>
  <c r="B22" i="5" s="1"/>
  <c r="F7" i="4"/>
  <c r="F12" i="4"/>
  <c r="E3" i="5"/>
  <c r="B20" i="5" s="1"/>
  <c r="E4" i="1"/>
  <c r="B21" i="1" s="1"/>
  <c r="F12" i="5"/>
  <c r="D12" i="2"/>
  <c r="E12" i="2" s="1"/>
  <c r="D21" i="2" s="1"/>
  <c r="B8" i="5"/>
  <c r="B15" i="5" s="1"/>
  <c r="F10" i="1"/>
  <c r="F9" i="2"/>
  <c r="D11" i="2"/>
  <c r="F11" i="2" s="1"/>
  <c r="F5" i="3"/>
  <c r="F10" i="3"/>
  <c r="E14" i="3"/>
  <c r="D23" i="3" s="1"/>
  <c r="D10" i="5"/>
  <c r="E10" i="5" s="1"/>
  <c r="C23" i="5" s="1"/>
  <c r="E7" i="1"/>
  <c r="C20" i="1" s="1"/>
  <c r="E8" i="1"/>
  <c r="C21" i="1" s="1"/>
  <c r="F6" i="5"/>
  <c r="F7" i="2"/>
  <c r="F11" i="5"/>
  <c r="E11" i="5"/>
  <c r="D20" i="5" s="1"/>
  <c r="F5" i="4"/>
  <c r="F3" i="5"/>
  <c r="F4" i="2"/>
  <c r="D13" i="2"/>
  <c r="F13" i="2" s="1"/>
  <c r="F6" i="3"/>
  <c r="E10" i="4"/>
  <c r="C23" i="4" s="1"/>
  <c r="F13" i="5"/>
  <c r="D9" i="5"/>
  <c r="B15" i="1"/>
  <c r="F14" i="3"/>
  <c r="F3" i="3"/>
  <c r="E13" i="1"/>
  <c r="D22" i="1" s="1"/>
  <c r="E14" i="2"/>
  <c r="D23" i="2" s="1"/>
  <c r="F14" i="2"/>
  <c r="E7" i="3"/>
  <c r="C20" i="3" s="1"/>
  <c r="F7" i="3"/>
  <c r="F14" i="4"/>
  <c r="F14" i="5"/>
  <c r="E9" i="1"/>
  <c r="F4" i="3"/>
  <c r="E9" i="3"/>
  <c r="C22" i="3" s="1"/>
  <c r="F9" i="3"/>
  <c r="F13" i="3"/>
  <c r="E6" i="5"/>
  <c r="B23" i="5" s="1"/>
  <c r="E12" i="5"/>
  <c r="D21" i="5" s="1"/>
  <c r="E6" i="1"/>
  <c r="B13" i="4"/>
  <c r="F13" i="4" s="1"/>
  <c r="F8" i="4"/>
  <c r="F8" i="3"/>
  <c r="F4" i="5"/>
  <c r="B21" i="5"/>
  <c r="E14" i="5"/>
  <c r="E7" i="4"/>
  <c r="C20" i="4" s="1"/>
  <c r="C15" i="4"/>
  <c r="E12" i="4"/>
  <c r="B9" i="4"/>
  <c r="B4" i="4"/>
  <c r="F4" i="4" s="1"/>
  <c r="E5" i="3"/>
  <c r="E12" i="3"/>
  <c r="D21" i="3" s="1"/>
  <c r="E6" i="3"/>
  <c r="B23" i="3" s="1"/>
  <c r="E4" i="3"/>
  <c r="B21" i="3" s="1"/>
  <c r="E11" i="3"/>
  <c r="E4" i="2"/>
  <c r="C15" i="5"/>
  <c r="E13" i="5"/>
  <c r="O11" i="5"/>
  <c r="N11" i="5"/>
  <c r="E11" i="4"/>
  <c r="D15" i="4"/>
  <c r="E14" i="4"/>
  <c r="B22" i="4"/>
  <c r="E8" i="3"/>
  <c r="C21" i="3" s="1"/>
  <c r="D15" i="3"/>
  <c r="E10" i="3"/>
  <c r="C15" i="3"/>
  <c r="E13" i="3"/>
  <c r="D22" i="3" s="1"/>
  <c r="B15" i="3"/>
  <c r="B22" i="3"/>
  <c r="O10" i="3"/>
  <c r="N7" i="3"/>
  <c r="O7" i="3"/>
  <c r="O9" i="3"/>
  <c r="O8" i="3"/>
  <c r="N11" i="3"/>
  <c r="N8" i="3"/>
  <c r="O11" i="3"/>
  <c r="N9" i="3"/>
  <c r="B20" i="3"/>
  <c r="E10" i="2"/>
  <c r="E3" i="2"/>
  <c r="C20" i="2"/>
  <c r="E9" i="2"/>
  <c r="C15" i="2"/>
  <c r="B15" i="2"/>
  <c r="E6" i="2"/>
  <c r="D21" i="1"/>
  <c r="C23" i="1"/>
  <c r="O11" i="1"/>
  <c r="N11" i="1"/>
  <c r="D23" i="1"/>
  <c r="D15" i="5" l="1"/>
  <c r="F7" i="5"/>
  <c r="E11" i="2"/>
  <c r="D20" i="2" s="1"/>
  <c r="F12" i="2"/>
  <c r="F6" i="4"/>
  <c r="F10" i="5"/>
  <c r="E9" i="5"/>
  <c r="C22" i="5" s="1"/>
  <c r="F8" i="2"/>
  <c r="E5" i="2"/>
  <c r="B22" i="2" s="1"/>
  <c r="D15" i="2"/>
  <c r="F8" i="5"/>
  <c r="E8" i="5"/>
  <c r="C21" i="5" s="1"/>
  <c r="C24" i="5" s="1"/>
  <c r="C25" i="5" s="1"/>
  <c r="E15" i="1"/>
  <c r="I4" i="1" s="1"/>
  <c r="J7" i="1" s="1"/>
  <c r="K7" i="1" s="1"/>
  <c r="F9" i="5"/>
  <c r="B23" i="1"/>
  <c r="E23" i="1" s="1"/>
  <c r="F23" i="1" s="1"/>
  <c r="E9" i="4"/>
  <c r="C22" i="4" s="1"/>
  <c r="C24" i="4" s="1"/>
  <c r="C25" i="4" s="1"/>
  <c r="F9" i="4"/>
  <c r="E13" i="2"/>
  <c r="D22" i="2" s="1"/>
  <c r="D24" i="2" s="1"/>
  <c r="D25" i="2" s="1"/>
  <c r="E13" i="4"/>
  <c r="B15" i="4"/>
  <c r="D23" i="5"/>
  <c r="E23" i="5" s="1"/>
  <c r="F23" i="5" s="1"/>
  <c r="K23" i="5" s="1"/>
  <c r="D22" i="4"/>
  <c r="D21" i="4"/>
  <c r="E4" i="4"/>
  <c r="D20" i="3"/>
  <c r="D24" i="3" s="1"/>
  <c r="D25" i="3" s="1"/>
  <c r="C23" i="3"/>
  <c r="E23" i="3" s="1"/>
  <c r="F23" i="3" s="1"/>
  <c r="B21" i="2"/>
  <c r="E21" i="2" s="1"/>
  <c r="F21" i="2" s="1"/>
  <c r="C23" i="2"/>
  <c r="C22" i="2"/>
  <c r="B20" i="2"/>
  <c r="E20" i="2" s="1"/>
  <c r="F20" i="2" s="1"/>
  <c r="D24" i="1"/>
  <c r="D25" i="1" s="1"/>
  <c r="C22" i="1"/>
  <c r="C24" i="1" s="1"/>
  <c r="C25" i="1" s="1"/>
  <c r="D22" i="5"/>
  <c r="B24" i="5"/>
  <c r="E20" i="5"/>
  <c r="F20" i="5" s="1"/>
  <c r="K20" i="5" s="1"/>
  <c r="D20" i="4"/>
  <c r="E20" i="4" s="1"/>
  <c r="F20" i="4" s="1"/>
  <c r="D23" i="4"/>
  <c r="E22" i="3"/>
  <c r="F22" i="3" s="1"/>
  <c r="E15" i="3"/>
  <c r="I4" i="3" s="1"/>
  <c r="J8" i="3" s="1"/>
  <c r="E21" i="3"/>
  <c r="F21" i="3" s="1"/>
  <c r="B24" i="3"/>
  <c r="B23" i="2"/>
  <c r="B20" i="1"/>
  <c r="E20" i="1" s="1"/>
  <c r="F20" i="1" s="1"/>
  <c r="E21" i="1"/>
  <c r="F21" i="1" s="1"/>
  <c r="E23" i="2" l="1"/>
  <c r="F23" i="2" s="1"/>
  <c r="E22" i="5"/>
  <c r="F22" i="5" s="1"/>
  <c r="K22" i="5" s="1"/>
  <c r="E21" i="5"/>
  <c r="F21" i="5" s="1"/>
  <c r="K21" i="5" s="1"/>
  <c r="C24" i="2"/>
  <c r="C25" i="2" s="1"/>
  <c r="E20" i="3"/>
  <c r="F20" i="3" s="1"/>
  <c r="E15" i="5"/>
  <c r="I4" i="5" s="1"/>
  <c r="J7" i="5" s="1"/>
  <c r="K7" i="5" s="1"/>
  <c r="E15" i="2"/>
  <c r="I4" i="2" s="1"/>
  <c r="J13" i="2" s="1"/>
  <c r="E15" i="4"/>
  <c r="I4" i="4" s="1"/>
  <c r="J7" i="4" s="1"/>
  <c r="K7" i="4" s="1"/>
  <c r="E22" i="4"/>
  <c r="F22" i="4" s="1"/>
  <c r="D24" i="4"/>
  <c r="D25" i="4" s="1"/>
  <c r="B21" i="4"/>
  <c r="C24" i="3"/>
  <c r="C25" i="3" s="1"/>
  <c r="E22" i="2"/>
  <c r="F22" i="2" s="1"/>
  <c r="B24" i="1"/>
  <c r="B25" i="1" s="1"/>
  <c r="E22" i="1"/>
  <c r="F22" i="1" s="1"/>
  <c r="D24" i="5"/>
  <c r="D25" i="5" s="1"/>
  <c r="B25" i="5"/>
  <c r="E23" i="4"/>
  <c r="J7" i="3"/>
  <c r="K7" i="3" s="1"/>
  <c r="J13" i="3"/>
  <c r="B25" i="3"/>
  <c r="K8" i="3"/>
  <c r="J9" i="3"/>
  <c r="K9" i="3" s="1"/>
  <c r="B24" i="2"/>
  <c r="J8" i="1"/>
  <c r="K8" i="1" s="1"/>
  <c r="J13" i="1"/>
  <c r="J8" i="5" l="1"/>
  <c r="K8" i="5" s="1"/>
  <c r="J13" i="5"/>
  <c r="J9" i="5"/>
  <c r="K9" i="5" s="1"/>
  <c r="J7" i="2"/>
  <c r="K7" i="2" s="1"/>
  <c r="E24" i="3"/>
  <c r="J13" i="4"/>
  <c r="J8" i="2"/>
  <c r="K8" i="2" s="1"/>
  <c r="J8" i="4"/>
  <c r="K8" i="4" s="1"/>
  <c r="J9" i="2"/>
  <c r="K9" i="2" s="1"/>
  <c r="J10" i="1"/>
  <c r="K10" i="1" s="1"/>
  <c r="E24" i="5"/>
  <c r="B24" i="4"/>
  <c r="E21" i="4"/>
  <c r="F21" i="4" s="1"/>
  <c r="J10" i="3"/>
  <c r="K10" i="3" s="1"/>
  <c r="E24" i="1"/>
  <c r="J9" i="1"/>
  <c r="K9" i="1" s="1"/>
  <c r="J10" i="5"/>
  <c r="K10" i="5" s="1"/>
  <c r="F23" i="4"/>
  <c r="J12" i="3"/>
  <c r="K12" i="3" s="1"/>
  <c r="L7" i="3" s="1"/>
  <c r="M7" i="3" s="1"/>
  <c r="E24" i="2"/>
  <c r="B25" i="2"/>
  <c r="J10" i="2"/>
  <c r="K10" i="2" s="1"/>
  <c r="J12" i="1"/>
  <c r="K12" i="1" s="1"/>
  <c r="L7" i="1" s="1"/>
  <c r="M7" i="1" s="1"/>
  <c r="J12" i="5" l="1"/>
  <c r="K12" i="5" s="1"/>
  <c r="J12" i="4"/>
  <c r="K12" i="4" s="1"/>
  <c r="L8" i="4" s="1"/>
  <c r="M8" i="4" s="1"/>
  <c r="J12" i="2"/>
  <c r="K12" i="2" s="1"/>
  <c r="L7" i="2" s="1"/>
  <c r="M7" i="2" s="1"/>
  <c r="J11" i="5"/>
  <c r="K11" i="5" s="1"/>
  <c r="J9" i="4"/>
  <c r="K9" i="4" s="1"/>
  <c r="B25" i="4"/>
  <c r="E24" i="4"/>
  <c r="J10" i="4"/>
  <c r="K10" i="4" s="1"/>
  <c r="J11" i="3"/>
  <c r="K11" i="3" s="1"/>
  <c r="L11" i="3" s="1"/>
  <c r="M11" i="3" s="1"/>
  <c r="L8" i="3"/>
  <c r="M8" i="3" s="1"/>
  <c r="J11" i="1"/>
  <c r="K11" i="1" s="1"/>
  <c r="L11" i="1" s="1"/>
  <c r="M11" i="1" s="1"/>
  <c r="L10" i="1"/>
  <c r="M10" i="1" s="1"/>
  <c r="L8" i="1"/>
  <c r="M8" i="1" s="1"/>
  <c r="L9" i="3"/>
  <c r="M9" i="3" s="1"/>
  <c r="L10" i="3"/>
  <c r="M10" i="3" s="1"/>
  <c r="J11" i="2"/>
  <c r="K11" i="2" s="1"/>
  <c r="L9" i="1"/>
  <c r="M9" i="1" s="1"/>
  <c r="L10" i="2" l="1"/>
  <c r="M10" i="2" s="1"/>
  <c r="L7" i="5"/>
  <c r="M7" i="5" s="1"/>
  <c r="K24" i="5"/>
  <c r="L21" i="5" s="1"/>
  <c r="L9" i="5"/>
  <c r="M9" i="5" s="1"/>
  <c r="L11" i="5"/>
  <c r="M11" i="5" s="1"/>
  <c r="L8" i="5"/>
  <c r="M8" i="5" s="1"/>
  <c r="L10" i="5"/>
  <c r="M10" i="5" s="1"/>
  <c r="L10" i="4"/>
  <c r="M10" i="4" s="1"/>
  <c r="L7" i="4"/>
  <c r="M7" i="4" s="1"/>
  <c r="L11" i="2"/>
  <c r="M11" i="2" s="1"/>
  <c r="L9" i="2"/>
  <c r="M9" i="2" s="1"/>
  <c r="L8" i="2"/>
  <c r="M8" i="2" s="1"/>
  <c r="L9" i="4"/>
  <c r="M9" i="4" s="1"/>
  <c r="J11" i="4"/>
  <c r="K11" i="4" s="1"/>
  <c r="L11" i="4" s="1"/>
  <c r="M11" i="4" s="1"/>
</calcChain>
</file>

<file path=xl/sharedStrings.xml><?xml version="1.0" encoding="utf-8"?>
<sst xmlns="http://schemas.openxmlformats.org/spreadsheetml/2006/main" count="504" uniqueCount="68">
  <si>
    <t>p</t>
  </si>
  <si>
    <t>w</t>
  </si>
  <si>
    <t>r</t>
  </si>
  <si>
    <t>Perlakuan</t>
  </si>
  <si>
    <t>Ulangan I</t>
  </si>
  <si>
    <t>Jumlah</t>
  </si>
  <si>
    <t>Rata2</t>
  </si>
  <si>
    <t>Ulangan II</t>
  </si>
  <si>
    <t>Ulangan III</t>
  </si>
  <si>
    <t xml:space="preserve">Jumlah </t>
  </si>
  <si>
    <t>FK</t>
  </si>
  <si>
    <t>Tanaman 1</t>
  </si>
  <si>
    <t>Tanaman 2</t>
  </si>
  <si>
    <t>P1W1</t>
  </si>
  <si>
    <t>P2W1</t>
  </si>
  <si>
    <t>Ulangan</t>
  </si>
  <si>
    <t>Rata²</t>
  </si>
  <si>
    <t>P3W1</t>
  </si>
  <si>
    <t>I</t>
  </si>
  <si>
    <t>II</t>
  </si>
  <si>
    <t>III</t>
  </si>
  <si>
    <t>P4W1</t>
  </si>
  <si>
    <t>SK</t>
  </si>
  <si>
    <t>db</t>
  </si>
  <si>
    <t>JK</t>
  </si>
  <si>
    <t>KT</t>
  </si>
  <si>
    <t>Fhitung</t>
  </si>
  <si>
    <t>F 5%</t>
  </si>
  <si>
    <t>F 1%</t>
  </si>
  <si>
    <t>P1W2</t>
  </si>
  <si>
    <t>Kelompok</t>
  </si>
  <si>
    <t>P2W2</t>
  </si>
  <si>
    <t>P3W2</t>
  </si>
  <si>
    <t>P</t>
  </si>
  <si>
    <t>P4W2</t>
  </si>
  <si>
    <t>W</t>
  </si>
  <si>
    <t>P1W3</t>
  </si>
  <si>
    <t>PW</t>
  </si>
  <si>
    <t>P2W3</t>
  </si>
  <si>
    <t>Galat</t>
  </si>
  <si>
    <t>P3W3</t>
  </si>
  <si>
    <t>Total</t>
  </si>
  <si>
    <t>P4W3</t>
  </si>
  <si>
    <t>Tabel 2 Arah</t>
  </si>
  <si>
    <t>Rata</t>
  </si>
  <si>
    <t>W1</t>
  </si>
  <si>
    <t>W2</t>
  </si>
  <si>
    <t>W3</t>
  </si>
  <si>
    <t>P1</t>
  </si>
  <si>
    <t>P2</t>
  </si>
  <si>
    <t>P3</t>
  </si>
  <si>
    <t>P4</t>
  </si>
  <si>
    <t>Analisis Ragam Luas Daun Umur 7 HST</t>
  </si>
  <si>
    <t>Data Luas Daun tiap Tanaman</t>
  </si>
  <si>
    <t>Analisis Ragam Luas Daun Umur 14 HST</t>
  </si>
  <si>
    <t>Analisis Ragam Luas Daun Umur 21 HST</t>
  </si>
  <si>
    <t>Analisis Ragam Luas Daun Umur 28 HST</t>
  </si>
  <si>
    <t xml:space="preserve">Analisis Ragam Luas Daun </t>
  </si>
  <si>
    <t>4,22</t>
  </si>
  <si>
    <t>BNJ 5%</t>
  </si>
  <si>
    <t>a</t>
  </si>
  <si>
    <t>ab</t>
  </si>
  <si>
    <t>b</t>
  </si>
  <si>
    <t>BNJ Interaksi</t>
  </si>
  <si>
    <t>3,22</t>
  </si>
  <si>
    <t>A</t>
  </si>
  <si>
    <t>AB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</si>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</sst>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0" xfId="0" applyFont="1" applyFill="1"/>
    <xf numFmtId="0" fontId="3" fillId="0" borderId="1" xfId="0" applyFont="1" applyBorder="1" applyAlignment="1">
      <alignment horizontal="center"/>
    </xf>
    <xf numFmtId="0" fontId="4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" fontId="3" fillId="0" borderId="0" xfId="0" applyNumberFormat="1" applyFont="1"/>
    <xf numFmtId="164" fontId="3" fillId="0" borderId="0" xfId="0" applyNumberFormat="1" applyFont="1"/>
    <xf numFmtId="0" fontId="3" fillId="0" borderId="5" xfId="0" applyFont="1" applyBorder="1"/>
    <xf numFmtId="1" fontId="3" fillId="0" borderId="5" xfId="0" applyNumberFormat="1" applyFont="1" applyBorder="1"/>
    <xf numFmtId="164" fontId="3" fillId="0" borderId="5" xfId="0" applyNumberFormat="1" applyFont="1" applyBorder="1"/>
    <xf numFmtId="0" fontId="3" fillId="2" borderId="1" xfId="0" applyFont="1" applyFill="1" applyBorder="1" applyAlignment="1">
      <alignment horizontal="center"/>
    </xf>
    <xf numFmtId="0" fontId="3" fillId="0" borderId="1" xfId="0" applyFont="1" applyBorder="1"/>
    <xf numFmtId="165" fontId="3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2" fontId="3" fillId="0" borderId="0" xfId="0" applyNumberFormat="1" applyFont="1"/>
    <xf numFmtId="2" fontId="3" fillId="0" borderId="5" xfId="0" applyNumberFormat="1" applyFont="1" applyBorder="1"/>
    <xf numFmtId="2" fontId="3" fillId="2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2" fontId="1" fillId="0" borderId="1" xfId="0" applyNumberFormat="1" applyFon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/>
    <xf numFmtId="2" fontId="1" fillId="0" borderId="0" xfId="0" applyNumberFormat="1" applyFont="1"/>
    <xf numFmtId="0" fontId="1" fillId="0" borderId="1" xfId="0" applyFont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microsoft.com/office/2017/10/relationships/person" Target="persons/person0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25"/>
  <sheetViews>
    <sheetView topLeftCell="D1" workbookViewId="0">
      <selection activeCell="AJ2" sqref="AJ2:AX16"/>
    </sheetView>
  </sheetViews>
  <sheetFormatPr defaultColWidth="8.88671875" defaultRowHeight="13.8" x14ac:dyDescent="0.25"/>
  <cols>
    <col min="1" max="1" width="10.6640625" style="1" bestFit="1" customWidth="1"/>
    <col min="2" max="6" width="8.88671875" style="1"/>
    <col min="7" max="7" width="3.33203125" style="1" customWidth="1"/>
    <col min="8" max="12" width="8.88671875" style="1"/>
    <col min="13" max="13" width="2.5546875" style="1" bestFit="1" customWidth="1"/>
    <col min="14" max="15" width="8.88671875" style="1"/>
    <col min="16" max="16" width="2.5546875" style="1" customWidth="1"/>
    <col min="17" max="17" width="9.88671875" style="1" customWidth="1"/>
    <col min="18" max="19" width="10.5546875" style="1" bestFit="1" customWidth="1"/>
    <col min="20" max="21" width="8.88671875" style="1"/>
    <col min="22" max="22" width="3.33203125" style="1" customWidth="1"/>
    <col min="23" max="24" width="10.5546875" style="1" bestFit="1" customWidth="1"/>
    <col min="25" max="26" width="8.88671875" style="1"/>
    <col min="27" max="27" width="3" style="1" customWidth="1"/>
    <col min="28" max="29" width="10.5546875" style="1" bestFit="1" customWidth="1"/>
    <col min="30" max="16384" width="8.88671875" style="1"/>
  </cols>
  <sheetData>
    <row r="1" spans="1:50" x14ac:dyDescent="0.25">
      <c r="A1" s="35" t="s">
        <v>3</v>
      </c>
      <c r="B1" s="36" t="s">
        <v>15</v>
      </c>
      <c r="C1" s="36"/>
      <c r="D1" s="36"/>
      <c r="E1" s="37" t="s">
        <v>5</v>
      </c>
      <c r="F1" s="37" t="s">
        <v>16</v>
      </c>
      <c r="H1" s="1" t="s">
        <v>0</v>
      </c>
      <c r="I1" s="1">
        <v>4</v>
      </c>
    </row>
    <row r="2" spans="1:50" x14ac:dyDescent="0.25">
      <c r="A2" s="35"/>
      <c r="B2" s="6" t="s">
        <v>18</v>
      </c>
      <c r="C2" s="6" t="s">
        <v>19</v>
      </c>
      <c r="D2" s="6" t="s">
        <v>20</v>
      </c>
      <c r="E2" s="38"/>
      <c r="F2" s="38"/>
      <c r="H2" s="1" t="s">
        <v>1</v>
      </c>
      <c r="I2" s="1">
        <v>3</v>
      </c>
      <c r="AJ2" s="2" t="s">
        <v>53</v>
      </c>
    </row>
    <row r="3" spans="1:50" x14ac:dyDescent="0.25">
      <c r="A3" s="6" t="s">
        <v>13</v>
      </c>
      <c r="B3" s="23">
        <f t="shared" ref="B3:B14" si="0">AN5</f>
        <v>2.6950000000000003</v>
      </c>
      <c r="C3" s="23">
        <f t="shared" ref="C3:C14" si="1">AS5</f>
        <v>3.3849200000000002</v>
      </c>
      <c r="D3" s="23">
        <f t="shared" ref="D3:D14" si="2">AX5</f>
        <v>3.2151350000000001</v>
      </c>
      <c r="E3" s="10">
        <f>SUM(B3:D3)</f>
        <v>9.2950550000000014</v>
      </c>
      <c r="F3" s="10">
        <f>AVERAGE(B3:D3)</f>
        <v>3.0983516666666673</v>
      </c>
      <c r="H3" s="1" t="s">
        <v>2</v>
      </c>
      <c r="I3" s="1">
        <v>3</v>
      </c>
      <c r="AJ3" s="35" t="s">
        <v>3</v>
      </c>
      <c r="AK3" s="42" t="s">
        <v>4</v>
      </c>
      <c r="AL3" s="42"/>
      <c r="AM3" s="42" t="s">
        <v>5</v>
      </c>
      <c r="AN3" s="42" t="s">
        <v>6</v>
      </c>
      <c r="AO3" s="43"/>
      <c r="AP3" s="42" t="s">
        <v>7</v>
      </c>
      <c r="AQ3" s="42"/>
      <c r="AR3" s="42" t="s">
        <v>5</v>
      </c>
      <c r="AS3" s="42" t="s">
        <v>6</v>
      </c>
      <c r="AT3" s="43"/>
      <c r="AU3" s="42" t="s">
        <v>8</v>
      </c>
      <c r="AV3" s="42"/>
      <c r="AW3" s="42" t="s">
        <v>9</v>
      </c>
      <c r="AX3" s="42" t="s">
        <v>6</v>
      </c>
    </row>
    <row r="4" spans="1:50" x14ac:dyDescent="0.25">
      <c r="A4" s="6" t="s">
        <v>14</v>
      </c>
      <c r="B4" s="23">
        <f t="shared" si="0"/>
        <v>3.5574000000000003</v>
      </c>
      <c r="C4" s="23">
        <f t="shared" si="1"/>
        <v>2.5225200000000001</v>
      </c>
      <c r="D4" s="23">
        <f t="shared" si="2"/>
        <v>3.1800999999999999</v>
      </c>
      <c r="E4" s="10">
        <f t="shared" ref="E4:E14" si="3">SUM(B4:D4)</f>
        <v>9.2600200000000008</v>
      </c>
      <c r="F4" s="10">
        <f t="shared" ref="F4:F14" si="4">AVERAGE(B4:D4)</f>
        <v>3.0866733333333336</v>
      </c>
      <c r="H4" s="1" t="s">
        <v>10</v>
      </c>
      <c r="I4" s="5">
        <f>E15^2/36</f>
        <v>317.30480967933619</v>
      </c>
      <c r="AJ4" s="35"/>
      <c r="AK4" s="4" t="s">
        <v>11</v>
      </c>
      <c r="AL4" s="4" t="s">
        <v>12</v>
      </c>
      <c r="AM4" s="42"/>
      <c r="AN4" s="42"/>
      <c r="AO4" s="44"/>
      <c r="AP4" s="4" t="s">
        <v>11</v>
      </c>
      <c r="AQ4" s="4" t="s">
        <v>12</v>
      </c>
      <c r="AR4" s="42"/>
      <c r="AS4" s="42"/>
      <c r="AT4" s="44"/>
      <c r="AU4" s="4" t="s">
        <v>11</v>
      </c>
      <c r="AV4" s="4" t="s">
        <v>12</v>
      </c>
      <c r="AW4" s="42"/>
      <c r="AX4" s="42"/>
    </row>
    <row r="5" spans="1:50" x14ac:dyDescent="0.25">
      <c r="A5" s="6" t="s">
        <v>17</v>
      </c>
      <c r="B5" s="23">
        <f t="shared" si="0"/>
        <v>2.9321600000000005</v>
      </c>
      <c r="C5" s="23">
        <f t="shared" si="1"/>
        <v>3.6274699999999998</v>
      </c>
      <c r="D5" s="23">
        <f t="shared" si="2"/>
        <v>2.6518800000000002</v>
      </c>
      <c r="E5" s="10">
        <f t="shared" si="3"/>
        <v>9.2115100000000005</v>
      </c>
      <c r="F5" s="10">
        <f t="shared" si="4"/>
        <v>3.0705033333333334</v>
      </c>
      <c r="H5" s="7" t="s">
        <v>52</v>
      </c>
      <c r="I5" s="8"/>
      <c r="J5" s="8"/>
      <c r="K5" s="8"/>
      <c r="L5" s="8"/>
      <c r="M5" s="8"/>
      <c r="N5" s="8"/>
      <c r="O5" s="8"/>
      <c r="AJ5" s="3" t="s">
        <v>13</v>
      </c>
      <c r="AK5" s="22">
        <f>2.5*2*0.539</f>
        <v>2.6950000000000003</v>
      </c>
      <c r="AL5" s="22">
        <f>2.5*2*0.539</f>
        <v>2.6950000000000003</v>
      </c>
      <c r="AM5" s="22">
        <f>SUM(AK5:AL5)</f>
        <v>5.3900000000000006</v>
      </c>
      <c r="AN5" s="22">
        <f>AVERAGE(AK5:AL5)</f>
        <v>2.6950000000000003</v>
      </c>
      <c r="AO5" s="44"/>
      <c r="AP5" s="22">
        <f>3*2.5*0.539</f>
        <v>4.0425000000000004</v>
      </c>
      <c r="AQ5" s="22">
        <f>2.2*2.3*0.539</f>
        <v>2.7273399999999999</v>
      </c>
      <c r="AR5" s="22">
        <f>SUM(AP5:AQ5)</f>
        <v>6.7698400000000003</v>
      </c>
      <c r="AS5" s="22">
        <f>AVERAGE(AP5:AQ5)</f>
        <v>3.3849200000000002</v>
      </c>
      <c r="AT5" s="44"/>
      <c r="AU5" s="22">
        <f>3.1*2.3*0.539</f>
        <v>3.84307</v>
      </c>
      <c r="AV5" s="22">
        <f>2.4*2*0.539</f>
        <v>2.5872000000000002</v>
      </c>
      <c r="AW5" s="22">
        <f>SUM(AU5:AV5)</f>
        <v>6.4302700000000002</v>
      </c>
      <c r="AX5" s="22">
        <f>AVERAGE(AU5:AV5)</f>
        <v>3.2151350000000001</v>
      </c>
    </row>
    <row r="6" spans="1:50" x14ac:dyDescent="0.25">
      <c r="A6" s="6" t="s">
        <v>21</v>
      </c>
      <c r="B6" s="23">
        <f t="shared" si="0"/>
        <v>2.1560000000000001</v>
      </c>
      <c r="C6" s="23">
        <f t="shared" si="1"/>
        <v>4.1772500000000008</v>
      </c>
      <c r="D6" s="23">
        <f t="shared" si="2"/>
        <v>2.8297500000000002</v>
      </c>
      <c r="E6" s="10">
        <f t="shared" si="3"/>
        <v>9.163000000000002</v>
      </c>
      <c r="F6" s="10">
        <f t="shared" si="4"/>
        <v>3.054333333333334</v>
      </c>
      <c r="H6" s="11" t="s">
        <v>22</v>
      </c>
      <c r="I6" s="11" t="s">
        <v>23</v>
      </c>
      <c r="J6" s="11" t="s">
        <v>24</v>
      </c>
      <c r="K6" s="11" t="s">
        <v>25</v>
      </c>
      <c r="L6" s="11" t="s">
        <v>26</v>
      </c>
      <c r="M6" s="11"/>
      <c r="N6" s="11" t="s">
        <v>27</v>
      </c>
      <c r="O6" s="11" t="s">
        <v>28</v>
      </c>
      <c r="AJ6" s="3" t="s">
        <v>14</v>
      </c>
      <c r="AK6" s="22">
        <f>3*2.5*0.539</f>
        <v>4.0425000000000004</v>
      </c>
      <c r="AL6" s="22">
        <f>3*1.9*0.539</f>
        <v>3.0722999999999998</v>
      </c>
      <c r="AM6" s="22">
        <f t="shared" ref="AM6:AM16" si="5">SUM(AK6:AL6)</f>
        <v>7.1148000000000007</v>
      </c>
      <c r="AN6" s="22">
        <f t="shared" ref="AN6:AN16" si="6">AVERAGE(AK6:AL6)</f>
        <v>3.5574000000000003</v>
      </c>
      <c r="AO6" s="44"/>
      <c r="AP6" s="22">
        <f>2.7*1.8*0.539</f>
        <v>2.6195400000000002</v>
      </c>
      <c r="AQ6" s="22">
        <f>2.5*1.8*0.539</f>
        <v>2.4255</v>
      </c>
      <c r="AR6" s="22">
        <f t="shared" ref="AR6:AR16" si="7">SUM(AP6:AQ6)</f>
        <v>5.0450400000000002</v>
      </c>
      <c r="AS6" s="22">
        <f t="shared" ref="AS6:AS16" si="8">AVERAGE(AP6:AQ6)</f>
        <v>2.5225200000000001</v>
      </c>
      <c r="AT6" s="44"/>
      <c r="AU6" s="22">
        <f>2.3*2*0.539</f>
        <v>2.4794</v>
      </c>
      <c r="AV6" s="22">
        <f>3*2.4*0.539</f>
        <v>3.8807999999999998</v>
      </c>
      <c r="AW6" s="22">
        <f t="shared" ref="AW6:AW16" si="9">SUM(AU6:AV6)</f>
        <v>6.3601999999999999</v>
      </c>
      <c r="AX6" s="22">
        <f t="shared" ref="AX6:AX16" si="10">AVERAGE(AU6:AV6)</f>
        <v>3.1800999999999999</v>
      </c>
    </row>
    <row r="7" spans="1:50" ht="14.4" x14ac:dyDescent="0.3">
      <c r="A7" s="6" t="s">
        <v>29</v>
      </c>
      <c r="B7" s="23">
        <f t="shared" si="0"/>
        <v>3.1531500000000006</v>
      </c>
      <c r="C7" s="23">
        <f t="shared" si="1"/>
        <v>3.1396749999999995</v>
      </c>
      <c r="D7" s="23">
        <f t="shared" si="2"/>
        <v>3.4145650000000005</v>
      </c>
      <c r="E7" s="10">
        <f t="shared" si="3"/>
        <v>9.7073900000000002</v>
      </c>
      <c r="F7" s="10">
        <f t="shared" si="4"/>
        <v>3.2357966666666669</v>
      </c>
      <c r="H7" s="8" t="s">
        <v>30</v>
      </c>
      <c r="I7" s="12">
        <v>2</v>
      </c>
      <c r="J7" s="13">
        <f>SUMSQ(B15:D15)/12-I4</f>
        <v>0.2100773491055179</v>
      </c>
      <c r="K7" s="13">
        <f>J7/I7</f>
        <v>0.10503867455275895</v>
      </c>
      <c r="L7" s="13">
        <f>K7/K$12</f>
        <v>0.29463917865214895</v>
      </c>
      <c r="M7" t="str">
        <f>IF(L7&lt;N7,"tn",IF(L7&lt;O7,"*","**"))</f>
        <v>tn</v>
      </c>
      <c r="N7" s="13">
        <f>FINV(0.05,I7,I$12)</f>
        <v>3.4433567793667246</v>
      </c>
      <c r="O7" s="13">
        <f>FINV(0.01,I7,I$12)</f>
        <v>5.7190219124822725</v>
      </c>
      <c r="AJ7" s="3" t="s">
        <v>17</v>
      </c>
      <c r="AK7" s="22">
        <f>2.5*2*0.539</f>
        <v>2.6950000000000003</v>
      </c>
      <c r="AL7" s="22">
        <f>2.8*2.1*0.539</f>
        <v>3.1693200000000004</v>
      </c>
      <c r="AM7" s="22">
        <f t="shared" si="5"/>
        <v>5.8643200000000011</v>
      </c>
      <c r="AN7" s="22">
        <f t="shared" si="6"/>
        <v>2.9321600000000005</v>
      </c>
      <c r="AO7" s="44"/>
      <c r="AP7" s="22">
        <f>2.3*2.2*0.539</f>
        <v>2.7273399999999999</v>
      </c>
      <c r="AQ7" s="22">
        <f>3*2.8*0.539</f>
        <v>4.5275999999999996</v>
      </c>
      <c r="AR7" s="22">
        <f t="shared" si="7"/>
        <v>7.2549399999999995</v>
      </c>
      <c r="AS7" s="22">
        <f t="shared" si="8"/>
        <v>3.6274699999999998</v>
      </c>
      <c r="AT7" s="44"/>
      <c r="AU7" s="22">
        <f>2.5*2*0.539</f>
        <v>2.6950000000000003</v>
      </c>
      <c r="AV7" s="22">
        <f>2.2*2.2*0.539</f>
        <v>2.6087600000000006</v>
      </c>
      <c r="AW7" s="22">
        <f t="shared" si="9"/>
        <v>5.3037600000000005</v>
      </c>
      <c r="AX7" s="22">
        <f t="shared" si="10"/>
        <v>2.6518800000000002</v>
      </c>
    </row>
    <row r="8" spans="1:50" ht="14.4" x14ac:dyDescent="0.3">
      <c r="A8" s="6" t="s">
        <v>31</v>
      </c>
      <c r="B8" s="23">
        <f t="shared" si="0"/>
        <v>2.762375</v>
      </c>
      <c r="C8" s="23">
        <f t="shared" si="1"/>
        <v>3.3418000000000001</v>
      </c>
      <c r="D8" s="23">
        <f t="shared" si="2"/>
        <v>1.6709000000000001</v>
      </c>
      <c r="E8" s="10">
        <f t="shared" si="3"/>
        <v>7.7750749999999993</v>
      </c>
      <c r="F8" s="10">
        <f t="shared" si="4"/>
        <v>2.5916916666666663</v>
      </c>
      <c r="H8" s="8" t="s">
        <v>3</v>
      </c>
      <c r="I8" s="12">
        <f>I1*I2-1</f>
        <v>11</v>
      </c>
      <c r="J8" s="13">
        <f>SUMSQ(E3:E14)/3-I4</f>
        <v>1.5037019948806005</v>
      </c>
      <c r="K8" s="13">
        <f t="shared" ref="K8:K12" si="11">J8/I8</f>
        <v>0.13670018135278186</v>
      </c>
      <c r="L8" s="13">
        <f>K8/K$12</f>
        <v>0.3834514223154345</v>
      </c>
      <c r="M8" t="str">
        <f>IF(L8&lt;N8,"tn",IF(L8&lt;O8,"*","**"))</f>
        <v>tn</v>
      </c>
      <c r="N8" s="13">
        <f t="shared" ref="N8:N11" si="12">FINV(0.05,I8,I$12)</f>
        <v>2.2585183566229916</v>
      </c>
      <c r="O8" s="13">
        <f t="shared" ref="O8:O11" si="13">FINV(0.01,I8,I$12)</f>
        <v>3.1837421959607717</v>
      </c>
      <c r="AJ8" s="3" t="s">
        <v>21</v>
      </c>
      <c r="AK8" s="22">
        <f>2.5*2*0.539</f>
        <v>2.6950000000000003</v>
      </c>
      <c r="AL8" s="22">
        <f>2*1.5*0.539</f>
        <v>1.617</v>
      </c>
      <c r="AM8" s="22">
        <f t="shared" si="5"/>
        <v>4.3120000000000003</v>
      </c>
      <c r="AN8" s="22">
        <f t="shared" si="6"/>
        <v>2.1560000000000001</v>
      </c>
      <c r="AO8" s="44"/>
      <c r="AP8" s="22">
        <f>3*2.5*0.539</f>
        <v>4.0425000000000004</v>
      </c>
      <c r="AQ8" s="22">
        <f>3.2*2.5*0.539</f>
        <v>4.3120000000000003</v>
      </c>
      <c r="AR8" s="22">
        <f t="shared" si="7"/>
        <v>8.3545000000000016</v>
      </c>
      <c r="AS8" s="22">
        <f t="shared" si="8"/>
        <v>4.1772500000000008</v>
      </c>
      <c r="AT8" s="44"/>
      <c r="AU8" s="22">
        <f>2.5*2.2*0.539</f>
        <v>2.9645000000000001</v>
      </c>
      <c r="AV8" s="22">
        <f>2.5*2*0.539</f>
        <v>2.6950000000000003</v>
      </c>
      <c r="AW8" s="22">
        <f t="shared" si="9"/>
        <v>5.6595000000000004</v>
      </c>
      <c r="AX8" s="22">
        <f t="shared" si="10"/>
        <v>2.8297500000000002</v>
      </c>
    </row>
    <row r="9" spans="1:50" ht="14.4" x14ac:dyDescent="0.3">
      <c r="A9" s="6" t="s">
        <v>32</v>
      </c>
      <c r="B9" s="23">
        <f t="shared" si="0"/>
        <v>3.2340000000000004</v>
      </c>
      <c r="C9" s="23">
        <f t="shared" si="1"/>
        <v>2.897125</v>
      </c>
      <c r="D9" s="23">
        <f t="shared" si="2"/>
        <v>2.5602499999999999</v>
      </c>
      <c r="E9" s="10">
        <f t="shared" si="3"/>
        <v>8.6913750000000007</v>
      </c>
      <c r="F9" s="10">
        <f t="shared" si="4"/>
        <v>2.8971250000000004</v>
      </c>
      <c r="H9" s="8" t="s">
        <v>33</v>
      </c>
      <c r="I9" s="12">
        <f>I1-1</f>
        <v>3</v>
      </c>
      <c r="J9" s="13">
        <f>SUMSQ(E20:E23)/9-I4</f>
        <v>0.34728638239170095</v>
      </c>
      <c r="K9" s="13">
        <f t="shared" si="11"/>
        <v>0.11576212746390031</v>
      </c>
      <c r="L9" s="13">
        <f t="shared" ref="L9:L11" si="14">K9/K$12</f>
        <v>0.32471904562978016</v>
      </c>
      <c r="M9" t="str">
        <f>IF(L9&lt;N9,"tn",IF(L9&lt;O9,"*","**"))</f>
        <v>tn</v>
      </c>
      <c r="N9" s="13">
        <f t="shared" si="12"/>
        <v>3.0491249886524128</v>
      </c>
      <c r="O9" s="13">
        <f t="shared" si="13"/>
        <v>4.8166057778160596</v>
      </c>
      <c r="AJ9" s="3" t="s">
        <v>29</v>
      </c>
      <c r="AK9" s="22">
        <f>2*1.8*0.539</f>
        <v>1.9404000000000001</v>
      </c>
      <c r="AL9" s="22">
        <f>3*2.7*0.539</f>
        <v>4.3659000000000008</v>
      </c>
      <c r="AM9" s="22">
        <f t="shared" si="5"/>
        <v>6.3063000000000011</v>
      </c>
      <c r="AN9" s="22">
        <f t="shared" si="6"/>
        <v>3.1531500000000006</v>
      </c>
      <c r="AO9" s="44"/>
      <c r="AP9" s="22">
        <f>3.5*2.3*0.539</f>
        <v>4.3389499999999996</v>
      </c>
      <c r="AQ9" s="22">
        <f>2.4*1.5*0.539</f>
        <v>1.9403999999999999</v>
      </c>
      <c r="AR9" s="22">
        <f t="shared" si="7"/>
        <v>6.2793499999999991</v>
      </c>
      <c r="AS9" s="22">
        <f t="shared" si="8"/>
        <v>3.1396749999999995</v>
      </c>
      <c r="AT9" s="44"/>
      <c r="AU9" s="22">
        <f>2.8*2.2*0.539</f>
        <v>3.3202400000000001</v>
      </c>
      <c r="AV9" s="22">
        <f>3.1*2.1*0.539</f>
        <v>3.5088900000000005</v>
      </c>
      <c r="AW9" s="22">
        <f t="shared" si="9"/>
        <v>6.829130000000001</v>
      </c>
      <c r="AX9" s="22">
        <f t="shared" si="10"/>
        <v>3.4145650000000005</v>
      </c>
    </row>
    <row r="10" spans="1:50" ht="14.4" x14ac:dyDescent="0.3">
      <c r="A10" s="6" t="s">
        <v>34</v>
      </c>
      <c r="B10" s="23">
        <f t="shared" si="0"/>
        <v>2.8189700000000002</v>
      </c>
      <c r="C10" s="23">
        <f t="shared" si="1"/>
        <v>2.00508</v>
      </c>
      <c r="D10" s="23">
        <f t="shared" si="2"/>
        <v>3.3633600000000001</v>
      </c>
      <c r="E10" s="10">
        <f t="shared" si="3"/>
        <v>8.1874099999999999</v>
      </c>
      <c r="F10" s="10">
        <f t="shared" si="4"/>
        <v>2.7291366666666668</v>
      </c>
      <c r="H10" s="8" t="s">
        <v>35</v>
      </c>
      <c r="I10" s="12">
        <f>I2-1</f>
        <v>2</v>
      </c>
      <c r="J10" s="13">
        <f>SUMSQ(B24:D24)/12-I4</f>
        <v>0.27503421319306653</v>
      </c>
      <c r="K10" s="13">
        <f t="shared" si="11"/>
        <v>0.13751710659653327</v>
      </c>
      <c r="L10" s="13">
        <f t="shared" si="14"/>
        <v>0.38574294192822456</v>
      </c>
      <c r="M10" t="str">
        <f>IF(L10&lt;N10,"tn",IF(L10&lt;O10,"*","**"))</f>
        <v>tn</v>
      </c>
      <c r="N10" s="13">
        <f t="shared" si="12"/>
        <v>3.4433567793667246</v>
      </c>
      <c r="O10" s="13">
        <f t="shared" si="13"/>
        <v>5.7190219124822725</v>
      </c>
      <c r="AJ10" s="3" t="s">
        <v>31</v>
      </c>
      <c r="AK10" s="22">
        <f>2.5*1.8*0.539</f>
        <v>2.4255</v>
      </c>
      <c r="AL10" s="22">
        <f>2.5*2.3*0.539</f>
        <v>3.0992500000000001</v>
      </c>
      <c r="AM10" s="22">
        <f t="shared" si="5"/>
        <v>5.52475</v>
      </c>
      <c r="AN10" s="22">
        <f t="shared" si="6"/>
        <v>2.762375</v>
      </c>
      <c r="AO10" s="44"/>
      <c r="AP10" s="22">
        <f>3*2.3*0.539</f>
        <v>3.7191000000000001</v>
      </c>
      <c r="AQ10" s="22">
        <f>2.5*2.2*0.539</f>
        <v>2.9645000000000001</v>
      </c>
      <c r="AR10" s="22">
        <f t="shared" si="7"/>
        <v>6.6836000000000002</v>
      </c>
      <c r="AS10" s="22">
        <f t="shared" si="8"/>
        <v>3.3418000000000001</v>
      </c>
      <c r="AT10" s="44"/>
      <c r="AU10" s="22">
        <f>2.2*2*0.539</f>
        <v>2.3716000000000004</v>
      </c>
      <c r="AV10" s="22">
        <f>1.2*1.5*0.539</f>
        <v>0.97019999999999995</v>
      </c>
      <c r="AW10" s="22">
        <f t="shared" si="9"/>
        <v>3.3418000000000001</v>
      </c>
      <c r="AX10" s="22">
        <f t="shared" si="10"/>
        <v>1.6709000000000001</v>
      </c>
    </row>
    <row r="11" spans="1:50" ht="14.4" x14ac:dyDescent="0.3">
      <c r="A11" s="6" t="s">
        <v>36</v>
      </c>
      <c r="B11" s="23">
        <f t="shared" si="0"/>
        <v>2.4928750000000002</v>
      </c>
      <c r="C11" s="23">
        <f t="shared" si="1"/>
        <v>3.6813700000000003</v>
      </c>
      <c r="D11" s="23">
        <f t="shared" si="2"/>
        <v>2.8028000000000004</v>
      </c>
      <c r="E11" s="10">
        <f t="shared" si="3"/>
        <v>8.9770450000000004</v>
      </c>
      <c r="F11" s="10">
        <f t="shared" si="4"/>
        <v>2.9923483333333336</v>
      </c>
      <c r="H11" s="8" t="s">
        <v>37</v>
      </c>
      <c r="I11" s="12">
        <f>I9*I10</f>
        <v>6</v>
      </c>
      <c r="J11" s="13">
        <f>J8-J9-J10</f>
        <v>0.88138139929583303</v>
      </c>
      <c r="K11" s="13">
        <f t="shared" si="11"/>
        <v>0.14689689988263885</v>
      </c>
      <c r="L11" s="13">
        <f t="shared" si="14"/>
        <v>0.41205377078733169</v>
      </c>
      <c r="M11" t="str">
        <f>IF(L11&lt;N11,"tn",IF(L11&lt;O11,"*","**"))</f>
        <v>tn</v>
      </c>
      <c r="N11" s="13">
        <f t="shared" si="12"/>
        <v>2.5490614138436585</v>
      </c>
      <c r="O11" s="13">
        <f t="shared" si="13"/>
        <v>3.7583014350037565</v>
      </c>
      <c r="AJ11" s="3" t="s">
        <v>32</v>
      </c>
      <c r="AK11" s="22">
        <f>3*2.2*0.539</f>
        <v>3.5574000000000003</v>
      </c>
      <c r="AL11" s="22">
        <f>2.7*2*0.539</f>
        <v>2.9106000000000005</v>
      </c>
      <c r="AM11" s="22">
        <f t="shared" si="5"/>
        <v>6.4680000000000009</v>
      </c>
      <c r="AN11" s="22">
        <f t="shared" si="6"/>
        <v>3.2340000000000004</v>
      </c>
      <c r="AO11" s="44"/>
      <c r="AP11" s="22">
        <f>2.5*2.1*0.539</f>
        <v>2.8297500000000002</v>
      </c>
      <c r="AQ11" s="22">
        <f>2.5*2.2*0.539</f>
        <v>2.9645000000000001</v>
      </c>
      <c r="AR11" s="22">
        <f t="shared" si="7"/>
        <v>5.7942499999999999</v>
      </c>
      <c r="AS11" s="22">
        <f t="shared" si="8"/>
        <v>2.897125</v>
      </c>
      <c r="AT11" s="44"/>
      <c r="AU11" s="22">
        <f>2.5*2*0.539</f>
        <v>2.6950000000000003</v>
      </c>
      <c r="AV11" s="22">
        <f>2.5*1.8*0.539</f>
        <v>2.4255</v>
      </c>
      <c r="AW11" s="22">
        <f t="shared" si="9"/>
        <v>5.1204999999999998</v>
      </c>
      <c r="AX11" s="22">
        <f t="shared" si="10"/>
        <v>2.5602499999999999</v>
      </c>
    </row>
    <row r="12" spans="1:50" x14ac:dyDescent="0.25">
      <c r="A12" s="6" t="s">
        <v>38</v>
      </c>
      <c r="B12" s="23">
        <f t="shared" si="0"/>
        <v>2.9887550000000003</v>
      </c>
      <c r="C12" s="23">
        <f t="shared" si="1"/>
        <v>2.5872000000000002</v>
      </c>
      <c r="D12" s="23">
        <f t="shared" si="2"/>
        <v>3.2744249999999999</v>
      </c>
      <c r="E12" s="10">
        <f t="shared" si="3"/>
        <v>8.8503800000000012</v>
      </c>
      <c r="F12" s="10">
        <f t="shared" si="4"/>
        <v>2.9501266666666672</v>
      </c>
      <c r="H12" s="8" t="s">
        <v>39</v>
      </c>
      <c r="I12" s="12">
        <f>I13-I7-I8</f>
        <v>22</v>
      </c>
      <c r="J12" s="13">
        <f>J13-J7-J8</f>
        <v>7.8429856162777583</v>
      </c>
      <c r="K12" s="13">
        <f t="shared" si="11"/>
        <v>0.35649934619444357</v>
      </c>
      <c r="L12" s="13"/>
      <c r="M12" s="8"/>
      <c r="N12" s="8"/>
      <c r="O12" s="8"/>
      <c r="AJ12" s="3" t="s">
        <v>34</v>
      </c>
      <c r="AK12" s="22">
        <f>2.8*2.4*0.539</f>
        <v>3.62208</v>
      </c>
      <c r="AL12" s="22">
        <f>2.2*1.7*0.539</f>
        <v>2.0158600000000004</v>
      </c>
      <c r="AM12" s="22">
        <f t="shared" si="5"/>
        <v>5.6379400000000004</v>
      </c>
      <c r="AN12" s="22">
        <f t="shared" si="6"/>
        <v>2.8189700000000002</v>
      </c>
      <c r="AO12" s="44"/>
      <c r="AP12" s="22">
        <f>1.3*1.3*0.539</f>
        <v>0.91091000000000011</v>
      </c>
      <c r="AQ12" s="22">
        <f>2.5*2.3*0.539</f>
        <v>3.0992500000000001</v>
      </c>
      <c r="AR12" s="22">
        <f t="shared" si="7"/>
        <v>4.0101599999999999</v>
      </c>
      <c r="AS12" s="22">
        <f t="shared" si="8"/>
        <v>2.00508</v>
      </c>
      <c r="AT12" s="44"/>
      <c r="AU12" s="22">
        <f>3*2.4*0.539</f>
        <v>3.8807999999999998</v>
      </c>
      <c r="AV12" s="22">
        <f>2.4*2.2*0.539</f>
        <v>2.8459200000000004</v>
      </c>
      <c r="AW12" s="22">
        <f t="shared" si="9"/>
        <v>6.7267200000000003</v>
      </c>
      <c r="AX12" s="22">
        <f t="shared" si="10"/>
        <v>3.3633600000000001</v>
      </c>
    </row>
    <row r="13" spans="1:50" x14ac:dyDescent="0.25">
      <c r="A13" s="6" t="s">
        <v>40</v>
      </c>
      <c r="B13" s="23">
        <f t="shared" si="0"/>
        <v>2.3850750000000001</v>
      </c>
      <c r="C13" s="23">
        <f t="shared" si="1"/>
        <v>2.2233750000000003</v>
      </c>
      <c r="D13" s="23">
        <f t="shared" si="2"/>
        <v>3.382225</v>
      </c>
      <c r="E13" s="10">
        <f t="shared" si="3"/>
        <v>7.9906750000000004</v>
      </c>
      <c r="F13" s="10">
        <f t="shared" si="4"/>
        <v>2.6635583333333335</v>
      </c>
      <c r="H13" s="14" t="s">
        <v>41</v>
      </c>
      <c r="I13" s="15">
        <f>4*3*3-1</f>
        <v>35</v>
      </c>
      <c r="J13" s="16">
        <f>SUMSQ(B3:D14)-I4</f>
        <v>9.5567649602638767</v>
      </c>
      <c r="K13" s="14"/>
      <c r="L13" s="14"/>
      <c r="M13" s="14"/>
      <c r="N13" s="14"/>
      <c r="O13" s="14"/>
      <c r="AJ13" s="3" t="s">
        <v>36</v>
      </c>
      <c r="AK13" s="22">
        <f>2.3*2.3*0.539</f>
        <v>2.8513099999999998</v>
      </c>
      <c r="AL13" s="22">
        <f>2.2*1.8*0.539</f>
        <v>2.1344400000000006</v>
      </c>
      <c r="AM13" s="22">
        <f t="shared" si="5"/>
        <v>4.9857500000000003</v>
      </c>
      <c r="AN13" s="22">
        <f t="shared" si="6"/>
        <v>2.4928750000000002</v>
      </c>
      <c r="AO13" s="44"/>
      <c r="AP13" s="22">
        <f>2.4*1.9*0.539</f>
        <v>2.45784</v>
      </c>
      <c r="AQ13" s="22">
        <f>3.5*2.6*0.539</f>
        <v>4.9049000000000005</v>
      </c>
      <c r="AR13" s="22">
        <f t="shared" si="7"/>
        <v>7.3627400000000005</v>
      </c>
      <c r="AS13" s="22">
        <f t="shared" si="8"/>
        <v>3.6813700000000003</v>
      </c>
      <c r="AT13" s="44"/>
      <c r="AU13" s="22">
        <f>2.5*2*0.539</f>
        <v>2.6950000000000003</v>
      </c>
      <c r="AV13" s="22">
        <f>2.7*2*0.539</f>
        <v>2.9106000000000005</v>
      </c>
      <c r="AW13" s="22">
        <f t="shared" si="9"/>
        <v>5.6056000000000008</v>
      </c>
      <c r="AX13" s="22">
        <f t="shared" si="10"/>
        <v>2.8028000000000004</v>
      </c>
    </row>
    <row r="14" spans="1:50" x14ac:dyDescent="0.25">
      <c r="A14" s="6" t="s">
        <v>42</v>
      </c>
      <c r="B14" s="23">
        <f t="shared" si="0"/>
        <v>3.2070500000000002</v>
      </c>
      <c r="C14" s="23">
        <f t="shared" si="1"/>
        <v>2.9779750000000007</v>
      </c>
      <c r="D14" s="23">
        <f t="shared" si="2"/>
        <v>3.5843500000000006</v>
      </c>
      <c r="E14" s="10">
        <f t="shared" si="3"/>
        <v>9.7693750000000019</v>
      </c>
      <c r="F14" s="10">
        <f t="shared" si="4"/>
        <v>3.2564583333333341</v>
      </c>
      <c r="AJ14" s="3" t="s">
        <v>38</v>
      </c>
      <c r="AK14" s="22">
        <f>2.5*2*0.539</f>
        <v>2.6950000000000003</v>
      </c>
      <c r="AL14" s="22">
        <f>2.9*2.1*0.539</f>
        <v>3.2825100000000003</v>
      </c>
      <c r="AM14" s="22">
        <f t="shared" si="5"/>
        <v>5.9775100000000005</v>
      </c>
      <c r="AN14" s="22">
        <f t="shared" si="6"/>
        <v>2.9887550000000003</v>
      </c>
      <c r="AO14" s="44"/>
      <c r="AP14" s="22">
        <f>2.3*2*0.539</f>
        <v>2.4794</v>
      </c>
      <c r="AQ14" s="22">
        <f>2.5*2*0.539</f>
        <v>2.6950000000000003</v>
      </c>
      <c r="AR14" s="22">
        <f t="shared" si="7"/>
        <v>5.1744000000000003</v>
      </c>
      <c r="AS14" s="22">
        <f t="shared" si="8"/>
        <v>2.5872000000000002</v>
      </c>
      <c r="AT14" s="44"/>
      <c r="AU14" s="22">
        <f>2.2*2*0.539</f>
        <v>2.3716000000000004</v>
      </c>
      <c r="AV14" s="22">
        <f>3.1*2.5*0.539</f>
        <v>4.1772499999999999</v>
      </c>
      <c r="AW14" s="22">
        <f t="shared" si="9"/>
        <v>6.5488499999999998</v>
      </c>
      <c r="AX14" s="22">
        <f t="shared" si="10"/>
        <v>3.2744249999999999</v>
      </c>
    </row>
    <row r="15" spans="1:50" x14ac:dyDescent="0.25">
      <c r="A15" s="6" t="s">
        <v>41</v>
      </c>
      <c r="B15" s="10">
        <f>SUM(B3:B14)</f>
        <v>34.382810000000006</v>
      </c>
      <c r="C15" s="10">
        <f>SUM(C3:C14)</f>
        <v>36.565759999999997</v>
      </c>
      <c r="D15" s="10">
        <f>SUM(D3:D14)</f>
        <v>35.929740000000002</v>
      </c>
      <c r="E15" s="26">
        <f>SUM(E3:E14)</f>
        <v>106.87831000000001</v>
      </c>
      <c r="F15" s="6"/>
      <c r="AJ15" s="3" t="s">
        <v>40</v>
      </c>
      <c r="AK15" s="22">
        <f>2.5*1.7*0.539</f>
        <v>2.2907500000000001</v>
      </c>
      <c r="AL15" s="22">
        <f>2.3*2*0.539</f>
        <v>2.4794</v>
      </c>
      <c r="AM15" s="22">
        <f t="shared" si="5"/>
        <v>4.7701500000000001</v>
      </c>
      <c r="AN15" s="22">
        <f t="shared" si="6"/>
        <v>2.3850750000000001</v>
      </c>
      <c r="AO15" s="44"/>
      <c r="AP15" s="22">
        <f>1.9*1.5*0.539</f>
        <v>1.5361499999999999</v>
      </c>
      <c r="AQ15" s="22">
        <f>2.7*2*0.539</f>
        <v>2.9106000000000005</v>
      </c>
      <c r="AR15" s="22">
        <f t="shared" si="7"/>
        <v>4.4467500000000006</v>
      </c>
      <c r="AS15" s="22">
        <f t="shared" si="8"/>
        <v>2.2233750000000003</v>
      </c>
      <c r="AT15" s="44"/>
      <c r="AU15" s="22">
        <f>2.4*2*0.539</f>
        <v>2.5872000000000002</v>
      </c>
      <c r="AV15" s="22">
        <f>3.1*2.5*0.539</f>
        <v>4.1772499999999999</v>
      </c>
      <c r="AW15" s="22">
        <f t="shared" si="9"/>
        <v>6.7644500000000001</v>
      </c>
      <c r="AX15" s="22">
        <f t="shared" si="10"/>
        <v>3.382225</v>
      </c>
    </row>
    <row r="16" spans="1:50" x14ac:dyDescent="0.25">
      <c r="AJ16" s="3" t="s">
        <v>42</v>
      </c>
      <c r="AK16" s="22">
        <f>3*2.3*0.539</f>
        <v>3.7191000000000001</v>
      </c>
      <c r="AL16" s="22">
        <f>2.5*2*0.539</f>
        <v>2.6950000000000003</v>
      </c>
      <c r="AM16" s="22">
        <f t="shared" si="5"/>
        <v>6.4141000000000004</v>
      </c>
      <c r="AN16" s="22">
        <f t="shared" si="6"/>
        <v>3.2070500000000002</v>
      </c>
      <c r="AO16" s="45"/>
      <c r="AP16" s="22">
        <f>2.7*2.3*0.539</f>
        <v>3.3471900000000003</v>
      </c>
      <c r="AQ16" s="22">
        <f>2.2*2.2*0.539</f>
        <v>2.6087600000000006</v>
      </c>
      <c r="AR16" s="22">
        <f t="shared" si="7"/>
        <v>5.9559500000000014</v>
      </c>
      <c r="AS16" s="22">
        <f t="shared" si="8"/>
        <v>2.9779750000000007</v>
      </c>
      <c r="AT16" s="45"/>
      <c r="AU16" s="22">
        <f>3*2.1*0.539</f>
        <v>3.3957000000000006</v>
      </c>
      <c r="AV16" s="22">
        <f>2.8*2.5*0.539</f>
        <v>3.7730000000000001</v>
      </c>
      <c r="AW16" s="22">
        <f t="shared" si="9"/>
        <v>7.1687000000000012</v>
      </c>
      <c r="AX16" s="22">
        <f t="shared" si="10"/>
        <v>3.5843500000000006</v>
      </c>
    </row>
    <row r="17" spans="1:7" x14ac:dyDescent="0.25">
      <c r="A17" s="8" t="s">
        <v>43</v>
      </c>
      <c r="B17" s="8"/>
      <c r="C17" s="8"/>
      <c r="D17" s="8"/>
      <c r="E17" s="8"/>
      <c r="F17" s="8"/>
    </row>
    <row r="18" spans="1:7" x14ac:dyDescent="0.25">
      <c r="A18" s="35" t="s">
        <v>33</v>
      </c>
      <c r="B18" s="39" t="s">
        <v>35</v>
      </c>
      <c r="C18" s="40"/>
      <c r="D18" s="41"/>
      <c r="E18" s="3" t="s">
        <v>5</v>
      </c>
      <c r="F18" s="18" t="s">
        <v>44</v>
      </c>
    </row>
    <row r="19" spans="1:7" x14ac:dyDescent="0.25">
      <c r="A19" s="35"/>
      <c r="B19" s="6" t="s">
        <v>45</v>
      </c>
      <c r="C19" s="6" t="s">
        <v>46</v>
      </c>
      <c r="D19" s="6" t="s">
        <v>47</v>
      </c>
      <c r="E19" s="3"/>
      <c r="F19" s="18"/>
    </row>
    <row r="20" spans="1:7" x14ac:dyDescent="0.25">
      <c r="A20" s="6" t="s">
        <v>48</v>
      </c>
      <c r="B20" s="19">
        <f>E3</f>
        <v>9.2950550000000014</v>
      </c>
      <c r="C20" s="19">
        <f>E7</f>
        <v>9.7073900000000002</v>
      </c>
      <c r="D20" s="19">
        <f>E11</f>
        <v>8.9770450000000004</v>
      </c>
      <c r="E20" s="19">
        <f>SUM(B20:D20)</f>
        <v>27.979490000000002</v>
      </c>
      <c r="F20" s="10">
        <f>E20/9</f>
        <v>3.1088322222222224</v>
      </c>
    </row>
    <row r="21" spans="1:7" x14ac:dyDescent="0.25">
      <c r="A21" s="6" t="s">
        <v>49</v>
      </c>
      <c r="B21" s="19">
        <f>E4</f>
        <v>9.2600200000000008</v>
      </c>
      <c r="C21" s="19">
        <f>E8</f>
        <v>7.7750749999999993</v>
      </c>
      <c r="D21" s="19">
        <f>E12</f>
        <v>8.8503800000000012</v>
      </c>
      <c r="E21" s="10">
        <f>SUM(B21:D21)</f>
        <v>25.885475</v>
      </c>
      <c r="F21" s="10">
        <f>E21/9</f>
        <v>2.8761638888888887</v>
      </c>
    </row>
    <row r="22" spans="1:7" x14ac:dyDescent="0.25">
      <c r="A22" s="9" t="s">
        <v>50</v>
      </c>
      <c r="B22" s="20">
        <f>E5</f>
        <v>9.2115100000000005</v>
      </c>
      <c r="C22" s="20">
        <f>E9</f>
        <v>8.6913750000000007</v>
      </c>
      <c r="D22" s="20">
        <f>E13</f>
        <v>7.9906750000000004</v>
      </c>
      <c r="E22" s="19">
        <f>SUM(B22:D22)</f>
        <v>25.893560000000001</v>
      </c>
      <c r="F22" s="10">
        <f t="shared" ref="F22:F23" si="15">E22/9</f>
        <v>2.8770622222222224</v>
      </c>
    </row>
    <row r="23" spans="1:7" x14ac:dyDescent="0.25">
      <c r="A23" s="9" t="s">
        <v>51</v>
      </c>
      <c r="B23" s="20">
        <f>E6</f>
        <v>9.163000000000002</v>
      </c>
      <c r="C23" s="20">
        <f>E10</f>
        <v>8.1874099999999999</v>
      </c>
      <c r="D23" s="20">
        <f>E14</f>
        <v>9.7693750000000019</v>
      </c>
      <c r="E23" s="10">
        <f t="shared" ref="E23" si="16">SUM(B23:D23)</f>
        <v>27.119785000000007</v>
      </c>
      <c r="F23" s="10">
        <f t="shared" si="15"/>
        <v>3.0133094444444453</v>
      </c>
    </row>
    <row r="24" spans="1:7" x14ac:dyDescent="0.25">
      <c r="A24" s="6" t="s">
        <v>5</v>
      </c>
      <c r="B24" s="19">
        <f>SUM(B20:B23)</f>
        <v>36.929585000000003</v>
      </c>
      <c r="C24" s="19">
        <f>SUM(C20:C23)</f>
        <v>34.361249999999998</v>
      </c>
      <c r="D24" s="19">
        <f>SUM(D20:D23)</f>
        <v>35.587475000000005</v>
      </c>
      <c r="E24" s="10">
        <f>SUM(B24:D24)</f>
        <v>106.87831</v>
      </c>
      <c r="F24" s="6"/>
    </row>
    <row r="25" spans="1:7" x14ac:dyDescent="0.25">
      <c r="A25" s="6" t="s">
        <v>44</v>
      </c>
      <c r="B25" s="10">
        <f>B24/12</f>
        <v>3.0774654166666671</v>
      </c>
      <c r="C25" s="10">
        <f t="shared" ref="C25:D25" si="17">C24/12</f>
        <v>2.8634374999999999</v>
      </c>
      <c r="D25" s="10">
        <f t="shared" si="17"/>
        <v>2.9656229166666672</v>
      </c>
      <c r="E25" s="6"/>
      <c r="F25" s="6"/>
      <c r="G25" s="8"/>
    </row>
  </sheetData>
  <mergeCells count="18">
    <mergeCell ref="AX3:AX4"/>
    <mergeCell ref="AJ3:AJ4"/>
    <mergeCell ref="AK3:AL3"/>
    <mergeCell ref="AM3:AM4"/>
    <mergeCell ref="AN3:AN4"/>
    <mergeCell ref="AO3:AO16"/>
    <mergeCell ref="AP3:AQ3"/>
    <mergeCell ref="AR3:AR4"/>
    <mergeCell ref="AS3:AS4"/>
    <mergeCell ref="AT3:AT16"/>
    <mergeCell ref="AU3:AV3"/>
    <mergeCell ref="AW3:AW4"/>
    <mergeCell ref="A1:A2"/>
    <mergeCell ref="B1:D1"/>
    <mergeCell ref="E1:E2"/>
    <mergeCell ref="F1:F2"/>
    <mergeCell ref="A18:A19"/>
    <mergeCell ref="B18:D18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X25"/>
  <sheetViews>
    <sheetView topLeftCell="D1" workbookViewId="0">
      <selection activeCell="AJ2" sqref="AJ2:AX16"/>
    </sheetView>
  </sheetViews>
  <sheetFormatPr defaultColWidth="8.88671875" defaultRowHeight="13.8" x14ac:dyDescent="0.25"/>
  <cols>
    <col min="1" max="1" width="10.6640625" style="1" bestFit="1" customWidth="1"/>
    <col min="2" max="6" width="8.88671875" style="1"/>
    <col min="7" max="7" width="3.33203125" style="1" customWidth="1"/>
    <col min="8" max="12" width="8.88671875" style="1"/>
    <col min="13" max="13" width="2.5546875" style="1" bestFit="1" customWidth="1"/>
    <col min="14" max="15" width="8.88671875" style="1"/>
    <col min="16" max="16" width="2.5546875" style="1" customWidth="1"/>
    <col min="17" max="17" width="9.88671875" style="1" customWidth="1"/>
    <col min="18" max="19" width="10.5546875" style="1" bestFit="1" customWidth="1"/>
    <col min="20" max="21" width="8.88671875" style="1"/>
    <col min="22" max="22" width="3.33203125" style="1" customWidth="1"/>
    <col min="23" max="24" width="10.5546875" style="1" bestFit="1" customWidth="1"/>
    <col min="25" max="26" width="8.88671875" style="1"/>
    <col min="27" max="27" width="3" style="1" customWidth="1"/>
    <col min="28" max="29" width="10.5546875" style="1" bestFit="1" customWidth="1"/>
    <col min="30" max="16384" width="8.88671875" style="1"/>
  </cols>
  <sheetData>
    <row r="1" spans="1:50" x14ac:dyDescent="0.25">
      <c r="A1" s="35" t="s">
        <v>3</v>
      </c>
      <c r="B1" s="36" t="s">
        <v>15</v>
      </c>
      <c r="C1" s="36"/>
      <c r="D1" s="36"/>
      <c r="E1" s="37" t="s">
        <v>5</v>
      </c>
      <c r="F1" s="37" t="s">
        <v>16</v>
      </c>
      <c r="H1" s="1" t="s">
        <v>0</v>
      </c>
      <c r="I1" s="1">
        <v>4</v>
      </c>
    </row>
    <row r="2" spans="1:50" x14ac:dyDescent="0.25">
      <c r="A2" s="35"/>
      <c r="B2" s="6" t="s">
        <v>18</v>
      </c>
      <c r="C2" s="6" t="s">
        <v>19</v>
      </c>
      <c r="D2" s="6" t="s">
        <v>20</v>
      </c>
      <c r="E2" s="38"/>
      <c r="F2" s="38"/>
      <c r="H2" s="1" t="s">
        <v>1</v>
      </c>
      <c r="I2" s="1">
        <v>3</v>
      </c>
      <c r="AJ2" s="2" t="s">
        <v>53</v>
      </c>
    </row>
    <row r="3" spans="1:50" x14ac:dyDescent="0.25">
      <c r="A3" s="6" t="s">
        <v>13</v>
      </c>
      <c r="B3" s="23">
        <f t="shared" ref="B3:B14" si="0">AN5</f>
        <v>7.7616000000000005</v>
      </c>
      <c r="C3" s="23">
        <f t="shared" ref="C3:C14" si="1">AS5</f>
        <v>8.3275500000000005</v>
      </c>
      <c r="D3" s="23">
        <f t="shared" ref="D3:D14" si="2">AX5</f>
        <v>7.626850000000001</v>
      </c>
      <c r="E3" s="10">
        <f>SUM(B3:D3)</f>
        <v>23.716000000000001</v>
      </c>
      <c r="F3" s="10">
        <f>AVERAGE(B3:D3)</f>
        <v>7.905333333333334</v>
      </c>
      <c r="H3" s="1" t="s">
        <v>2</v>
      </c>
      <c r="I3" s="1">
        <v>3</v>
      </c>
      <c r="AJ3" s="35" t="s">
        <v>3</v>
      </c>
      <c r="AK3" s="42" t="s">
        <v>4</v>
      </c>
      <c r="AL3" s="42"/>
      <c r="AM3" s="42" t="s">
        <v>5</v>
      </c>
      <c r="AN3" s="42" t="s">
        <v>6</v>
      </c>
      <c r="AO3" s="43"/>
      <c r="AP3" s="42" t="s">
        <v>7</v>
      </c>
      <c r="AQ3" s="42"/>
      <c r="AR3" s="42" t="s">
        <v>5</v>
      </c>
      <c r="AS3" s="42" t="s">
        <v>6</v>
      </c>
      <c r="AT3" s="43"/>
      <c r="AU3" s="42" t="s">
        <v>8</v>
      </c>
      <c r="AV3" s="42"/>
      <c r="AW3" s="42" t="s">
        <v>9</v>
      </c>
      <c r="AX3" s="42" t="s">
        <v>6</v>
      </c>
    </row>
    <row r="4" spans="1:50" x14ac:dyDescent="0.25">
      <c r="A4" s="6" t="s">
        <v>14</v>
      </c>
      <c r="B4" s="23">
        <f t="shared" si="0"/>
        <v>6.5946650000000009</v>
      </c>
      <c r="C4" s="23">
        <f t="shared" si="1"/>
        <v>7.3573500000000003</v>
      </c>
      <c r="D4" s="23">
        <f t="shared" si="2"/>
        <v>7.2899750000000001</v>
      </c>
      <c r="E4" s="10">
        <f t="shared" ref="E4:E13" si="3">SUM(B4:D4)</f>
        <v>21.241990000000001</v>
      </c>
      <c r="F4" s="10">
        <f t="shared" ref="F4:F14" si="4">AVERAGE(B4:D4)</f>
        <v>7.0806633333333338</v>
      </c>
      <c r="H4" s="1" t="s">
        <v>10</v>
      </c>
      <c r="I4" s="5">
        <f>E15^2/36</f>
        <v>1693.7624220690252</v>
      </c>
      <c r="AJ4" s="35"/>
      <c r="AK4" s="4" t="s">
        <v>11</v>
      </c>
      <c r="AL4" s="4" t="s">
        <v>12</v>
      </c>
      <c r="AM4" s="42"/>
      <c r="AN4" s="42"/>
      <c r="AO4" s="44"/>
      <c r="AP4" s="4" t="s">
        <v>11</v>
      </c>
      <c r="AQ4" s="4" t="s">
        <v>12</v>
      </c>
      <c r="AR4" s="42"/>
      <c r="AS4" s="42"/>
      <c r="AT4" s="44"/>
      <c r="AU4" s="4" t="s">
        <v>11</v>
      </c>
      <c r="AV4" s="4" t="s">
        <v>12</v>
      </c>
      <c r="AW4" s="42"/>
      <c r="AX4" s="42"/>
    </row>
    <row r="5" spans="1:50" x14ac:dyDescent="0.25">
      <c r="A5" s="6" t="s">
        <v>17</v>
      </c>
      <c r="B5" s="23">
        <f t="shared" si="0"/>
        <v>6.1931099999999999</v>
      </c>
      <c r="C5" s="23">
        <f t="shared" si="1"/>
        <v>8.7237150000000021</v>
      </c>
      <c r="D5" s="23">
        <f t="shared" si="2"/>
        <v>8.5162000000000013</v>
      </c>
      <c r="E5" s="10">
        <f t="shared" si="3"/>
        <v>23.433025000000004</v>
      </c>
      <c r="F5" s="10">
        <f t="shared" si="4"/>
        <v>7.8110083333333344</v>
      </c>
      <c r="H5" s="7" t="s">
        <v>54</v>
      </c>
      <c r="I5" s="8"/>
      <c r="J5" s="8"/>
      <c r="K5" s="8"/>
      <c r="L5" s="8"/>
      <c r="M5" s="8"/>
      <c r="N5" s="8"/>
      <c r="O5" s="8"/>
      <c r="AJ5" s="3" t="s">
        <v>13</v>
      </c>
      <c r="AK5" s="22">
        <f>4*3.6*0.539</f>
        <v>7.7616000000000005</v>
      </c>
      <c r="AL5" s="22">
        <f>4.5*3.2*0.539</f>
        <v>7.7616000000000005</v>
      </c>
      <c r="AM5" s="22">
        <f>SUM(AK5:AL5)</f>
        <v>15.523200000000001</v>
      </c>
      <c r="AN5" s="22">
        <f>AVERAGE(AK5:AL5)</f>
        <v>7.7616000000000005</v>
      </c>
      <c r="AO5" s="44"/>
      <c r="AP5" s="22">
        <f>4.5*3.6*0.539</f>
        <v>8.7317999999999998</v>
      </c>
      <c r="AQ5" s="22">
        <f>4.2*3.5*0.539</f>
        <v>7.9233000000000011</v>
      </c>
      <c r="AR5" s="22">
        <f>SUM(AP5:AQ5)</f>
        <v>16.655100000000001</v>
      </c>
      <c r="AS5" s="22">
        <f>AVERAGE(AP5:AQ5)</f>
        <v>8.3275500000000005</v>
      </c>
      <c r="AT5" s="44"/>
      <c r="AU5" s="22">
        <f>5.2*4*0.539</f>
        <v>11.211200000000002</v>
      </c>
      <c r="AV5" s="22">
        <f>3*2.5*0.539</f>
        <v>4.0425000000000004</v>
      </c>
      <c r="AW5" s="22">
        <f>SUM(AU5:AV5)</f>
        <v>15.253700000000002</v>
      </c>
      <c r="AX5" s="22">
        <f>AVERAGE(AU5:AV5)</f>
        <v>7.626850000000001</v>
      </c>
    </row>
    <row r="6" spans="1:50" x14ac:dyDescent="0.25">
      <c r="A6" s="6" t="s">
        <v>21</v>
      </c>
      <c r="B6" s="23">
        <f t="shared" si="0"/>
        <v>4.8240499999999997</v>
      </c>
      <c r="C6" s="23">
        <f t="shared" si="1"/>
        <v>10.850070000000001</v>
      </c>
      <c r="D6" s="23">
        <f t="shared" si="2"/>
        <v>6.6458700000000004</v>
      </c>
      <c r="E6" s="10">
        <f t="shared" si="3"/>
        <v>22.319990000000001</v>
      </c>
      <c r="F6" s="10">
        <f t="shared" si="4"/>
        <v>7.4399966666666666</v>
      </c>
      <c r="H6" s="11" t="s">
        <v>22</v>
      </c>
      <c r="I6" s="11" t="s">
        <v>23</v>
      </c>
      <c r="J6" s="11" t="s">
        <v>24</v>
      </c>
      <c r="K6" s="11" t="s">
        <v>25</v>
      </c>
      <c r="L6" s="11" t="s">
        <v>26</v>
      </c>
      <c r="M6" s="11"/>
      <c r="N6" s="11" t="s">
        <v>27</v>
      </c>
      <c r="O6" s="11" t="s">
        <v>28</v>
      </c>
      <c r="AJ6" s="3" t="s">
        <v>14</v>
      </c>
      <c r="AK6" s="22">
        <f>4.5*3.7*0.539</f>
        <v>8.9743500000000012</v>
      </c>
      <c r="AL6" s="22">
        <f>3.4*2.3*0.539</f>
        <v>4.2149799999999997</v>
      </c>
      <c r="AM6" s="22">
        <f t="shared" ref="AM6:AM16" si="5">SUM(AK6:AL6)</f>
        <v>13.189330000000002</v>
      </c>
      <c r="AN6" s="22">
        <f t="shared" ref="AN6:AN16" si="6">AVERAGE(AK6:AL6)</f>
        <v>6.5946650000000009</v>
      </c>
      <c r="AO6" s="44"/>
      <c r="AP6" s="22">
        <f>4.5*3.6*0.539</f>
        <v>8.7317999999999998</v>
      </c>
      <c r="AQ6" s="22">
        <f>3.7*3*0.539</f>
        <v>5.9829000000000008</v>
      </c>
      <c r="AR6" s="22">
        <f t="shared" ref="AR6:AR16" si="7">SUM(AP6:AQ6)</f>
        <v>14.714700000000001</v>
      </c>
      <c r="AS6" s="22">
        <f t="shared" ref="AS6:AS16" si="8">AVERAGE(AP6:AQ6)</f>
        <v>7.3573500000000003</v>
      </c>
      <c r="AT6" s="44"/>
      <c r="AU6" s="22">
        <f>4*3*0.539</f>
        <v>6.468</v>
      </c>
      <c r="AV6" s="22">
        <f>4.3*3.5*0.539</f>
        <v>8.1119500000000002</v>
      </c>
      <c r="AW6" s="22">
        <f t="shared" ref="AW6:AW16" si="9">SUM(AU6:AV6)</f>
        <v>14.57995</v>
      </c>
      <c r="AX6" s="22">
        <f t="shared" ref="AX6:AX16" si="10">AVERAGE(AU6:AV6)</f>
        <v>7.2899750000000001</v>
      </c>
    </row>
    <row r="7" spans="1:50" ht="14.4" x14ac:dyDescent="0.3">
      <c r="A7" s="6" t="s">
        <v>29</v>
      </c>
      <c r="B7" s="23">
        <f t="shared" si="0"/>
        <v>6.3332500000000005</v>
      </c>
      <c r="C7" s="23">
        <f t="shared" si="1"/>
        <v>7.8478400000000015</v>
      </c>
      <c r="D7" s="23">
        <f t="shared" si="2"/>
        <v>8.3302450000000015</v>
      </c>
      <c r="E7" s="10">
        <f t="shared" si="3"/>
        <v>22.511335000000003</v>
      </c>
      <c r="F7" s="10">
        <f t="shared" si="4"/>
        <v>7.5037783333333339</v>
      </c>
      <c r="H7" s="8" t="s">
        <v>30</v>
      </c>
      <c r="I7" s="12">
        <v>2</v>
      </c>
      <c r="J7" s="13">
        <f>SUMSQ(B15:D15)/12-I4</f>
        <v>8.9638668789543772</v>
      </c>
      <c r="K7" s="13">
        <f>J7/I7</f>
        <v>4.4819334394771886</v>
      </c>
      <c r="L7" s="13">
        <f>K7/K$12</f>
        <v>1.633435322409444</v>
      </c>
      <c r="M7" t="str">
        <f>IF(L7&lt;N7,"tn",IF(L7&lt;O7,"*","**"))</f>
        <v>tn</v>
      </c>
      <c r="N7" s="13">
        <f>FINV(0.05,I7,I$12)</f>
        <v>3.4433567793667246</v>
      </c>
      <c r="O7" s="13">
        <f>FINV(0.01,I7,I$12)</f>
        <v>5.7190219124822725</v>
      </c>
      <c r="AJ7" s="3" t="s">
        <v>17</v>
      </c>
      <c r="AK7" s="22">
        <f>3.4*2.9*0.539</f>
        <v>5.31454</v>
      </c>
      <c r="AL7" s="22">
        <f>4.1*3.2*0.539</f>
        <v>7.0716799999999997</v>
      </c>
      <c r="AM7" s="22">
        <f t="shared" si="5"/>
        <v>12.38622</v>
      </c>
      <c r="AN7" s="22">
        <f t="shared" si="6"/>
        <v>6.1931099999999999</v>
      </c>
      <c r="AO7" s="44"/>
      <c r="AP7" s="22">
        <f>3.9*3.6*0.539</f>
        <v>7.5675600000000003</v>
      </c>
      <c r="AQ7" s="22">
        <f>4.7*3.9*0.539</f>
        <v>9.8798700000000022</v>
      </c>
      <c r="AR7" s="22">
        <f t="shared" si="7"/>
        <v>17.447430000000004</v>
      </c>
      <c r="AS7" s="22">
        <f t="shared" si="8"/>
        <v>8.7237150000000021</v>
      </c>
      <c r="AT7" s="44"/>
      <c r="AU7" s="22">
        <f>4.4*3.5*0.539</f>
        <v>8.3006000000000011</v>
      </c>
      <c r="AV7" s="22">
        <f>4.5*3.6*0.539</f>
        <v>8.7317999999999998</v>
      </c>
      <c r="AW7" s="22">
        <f t="shared" si="9"/>
        <v>17.032400000000003</v>
      </c>
      <c r="AX7" s="22">
        <f t="shared" si="10"/>
        <v>8.5162000000000013</v>
      </c>
    </row>
    <row r="8" spans="1:50" ht="14.4" x14ac:dyDescent="0.3">
      <c r="A8" s="6" t="s">
        <v>31</v>
      </c>
      <c r="B8" s="23">
        <f t="shared" si="0"/>
        <v>4.8024900000000006</v>
      </c>
      <c r="C8" s="23">
        <f t="shared" si="1"/>
        <v>5.67028</v>
      </c>
      <c r="D8" s="23">
        <f t="shared" si="2"/>
        <v>4.6946900000000014</v>
      </c>
      <c r="E8" s="10">
        <f t="shared" si="3"/>
        <v>15.167460000000002</v>
      </c>
      <c r="F8" s="10">
        <f t="shared" si="4"/>
        <v>5.0558200000000006</v>
      </c>
      <c r="H8" s="8" t="s">
        <v>3</v>
      </c>
      <c r="I8" s="12">
        <f>I1*I2-1</f>
        <v>11</v>
      </c>
      <c r="J8" s="13">
        <f>SUMSQ(E3:E14)/3-I4</f>
        <v>26.99661792584152</v>
      </c>
      <c r="K8" s="13">
        <f t="shared" ref="K8:K12" si="11">J8/I8</f>
        <v>2.45423799325832</v>
      </c>
      <c r="L8" s="13">
        <f>K8/K$12</f>
        <v>0.89444412370725357</v>
      </c>
      <c r="M8" t="str">
        <f>IF(L8&lt;N8,"tn",IF(L8&lt;O8,"*","**"))</f>
        <v>tn</v>
      </c>
      <c r="N8" s="13">
        <f t="shared" ref="N8:N11" si="12">FINV(0.05,I8,I$12)</f>
        <v>2.2585183566229916</v>
      </c>
      <c r="O8" s="13">
        <f t="shared" ref="O8:O11" si="13">FINV(0.01,I8,I$12)</f>
        <v>3.1837421959607717</v>
      </c>
      <c r="AJ8" s="3" t="s">
        <v>21</v>
      </c>
      <c r="AK8" s="22">
        <f>4*3.1*0.539</f>
        <v>6.6836000000000002</v>
      </c>
      <c r="AL8" s="22">
        <f>2.5*2.2*0.539</f>
        <v>2.9645000000000001</v>
      </c>
      <c r="AM8" s="22">
        <f t="shared" si="5"/>
        <v>9.6480999999999995</v>
      </c>
      <c r="AN8" s="22">
        <f t="shared" si="6"/>
        <v>4.8240499999999997</v>
      </c>
      <c r="AO8" s="44"/>
      <c r="AP8" s="22">
        <f>4.7*3.9*0.539</f>
        <v>9.8798700000000022</v>
      </c>
      <c r="AQ8" s="22">
        <f>5.1*4.3*0.539</f>
        <v>11.820269999999999</v>
      </c>
      <c r="AR8" s="22">
        <f t="shared" si="7"/>
        <v>21.700140000000001</v>
      </c>
      <c r="AS8" s="22">
        <f t="shared" si="8"/>
        <v>10.850070000000001</v>
      </c>
      <c r="AT8" s="44"/>
      <c r="AU8" s="22">
        <f>4.8*3.7*0.539</f>
        <v>9.5726400000000016</v>
      </c>
      <c r="AV8" s="22">
        <f>3*2.3*0.539</f>
        <v>3.7191000000000001</v>
      </c>
      <c r="AW8" s="22">
        <f t="shared" si="9"/>
        <v>13.291740000000001</v>
      </c>
      <c r="AX8" s="22">
        <f t="shared" si="10"/>
        <v>6.6458700000000004</v>
      </c>
    </row>
    <row r="9" spans="1:50" ht="14.4" x14ac:dyDescent="0.3">
      <c r="A9" s="6" t="s">
        <v>32</v>
      </c>
      <c r="B9" s="23">
        <f t="shared" si="0"/>
        <v>6.9126750000000001</v>
      </c>
      <c r="C9" s="23">
        <f t="shared" si="1"/>
        <v>6.1688550000000006</v>
      </c>
      <c r="D9" s="23">
        <f t="shared" si="2"/>
        <v>8.6590350000000011</v>
      </c>
      <c r="E9" s="10">
        <f t="shared" si="3"/>
        <v>21.740565000000004</v>
      </c>
      <c r="F9" s="10">
        <f t="shared" si="4"/>
        <v>7.2468550000000009</v>
      </c>
      <c r="H9" s="8" t="s">
        <v>33</v>
      </c>
      <c r="I9" s="12">
        <f>I1-1</f>
        <v>3</v>
      </c>
      <c r="J9" s="13">
        <f>SUMSQ(E20:E23)/9-I4</f>
        <v>5.7263149775028523</v>
      </c>
      <c r="K9" s="13">
        <f t="shared" si="11"/>
        <v>1.9087716591676174</v>
      </c>
      <c r="L9" s="13">
        <f t="shared" ref="L9:L11" si="14">K9/K$12</f>
        <v>0.69564956566203706</v>
      </c>
      <c r="M9" t="str">
        <f>IF(L9&lt;N9,"tn",IF(L9&lt;O9,"*","**"))</f>
        <v>tn</v>
      </c>
      <c r="N9" s="13">
        <f t="shared" si="12"/>
        <v>3.0491249886524128</v>
      </c>
      <c r="O9" s="13">
        <f t="shared" si="13"/>
        <v>4.8166057778160596</v>
      </c>
      <c r="AJ9" s="3" t="s">
        <v>29</v>
      </c>
      <c r="AK9" s="22">
        <f>3.5*2.6*0.539</f>
        <v>4.9049000000000005</v>
      </c>
      <c r="AL9" s="22">
        <f>4.5*3.2*0.539</f>
        <v>7.7616000000000005</v>
      </c>
      <c r="AM9" s="22">
        <f t="shared" si="5"/>
        <v>12.666500000000001</v>
      </c>
      <c r="AN9" s="22">
        <f t="shared" si="6"/>
        <v>6.3332500000000005</v>
      </c>
      <c r="AO9" s="44"/>
      <c r="AP9" s="22">
        <f>4.9*3.8*0.539</f>
        <v>10.036180000000002</v>
      </c>
      <c r="AQ9" s="22">
        <f>3.5*3*0.539</f>
        <v>5.6595000000000004</v>
      </c>
      <c r="AR9" s="22">
        <f t="shared" si="7"/>
        <v>15.695680000000003</v>
      </c>
      <c r="AS9" s="22">
        <f t="shared" si="8"/>
        <v>7.8478400000000015</v>
      </c>
      <c r="AT9" s="44"/>
      <c r="AU9" s="22">
        <f>4.5*3.1*0.539</f>
        <v>7.5190500000000009</v>
      </c>
      <c r="AV9" s="22">
        <f>5.3*3.2*0.539</f>
        <v>9.1414400000000011</v>
      </c>
      <c r="AW9" s="22">
        <f t="shared" si="9"/>
        <v>16.660490000000003</v>
      </c>
      <c r="AX9" s="22">
        <f t="shared" si="10"/>
        <v>8.3302450000000015</v>
      </c>
    </row>
    <row r="10" spans="1:50" ht="14.4" x14ac:dyDescent="0.3">
      <c r="A10" s="6" t="s">
        <v>34</v>
      </c>
      <c r="B10" s="23">
        <f t="shared" si="0"/>
        <v>4.9884450000000005</v>
      </c>
      <c r="C10" s="23">
        <f t="shared" si="1"/>
        <v>4.2500150000000003</v>
      </c>
      <c r="D10" s="23">
        <f t="shared" si="2"/>
        <v>9.0201650000000004</v>
      </c>
      <c r="E10" s="10">
        <f t="shared" si="3"/>
        <v>18.258625000000002</v>
      </c>
      <c r="F10" s="10">
        <f t="shared" si="4"/>
        <v>6.0862083333333343</v>
      </c>
      <c r="H10" s="8" t="s">
        <v>35</v>
      </c>
      <c r="I10" s="12">
        <f>I2-1</f>
        <v>2</v>
      </c>
      <c r="J10" s="13">
        <f>SUMSQ(B24:D24)/12-I4</f>
        <v>8.851844402362758</v>
      </c>
      <c r="K10" s="13">
        <f t="shared" si="11"/>
        <v>4.425922201181379</v>
      </c>
      <c r="L10" s="13">
        <f t="shared" si="14"/>
        <v>1.6130220930922901</v>
      </c>
      <c r="M10" t="str">
        <f>IF(L10&lt;N10,"tn",IF(L10&lt;O10,"*","**"))</f>
        <v>tn</v>
      </c>
      <c r="N10" s="13">
        <f t="shared" si="12"/>
        <v>3.4433567793667246</v>
      </c>
      <c r="O10" s="13">
        <f t="shared" si="13"/>
        <v>5.7190219124822725</v>
      </c>
      <c r="AJ10" s="3" t="s">
        <v>31</v>
      </c>
      <c r="AK10" s="22">
        <f>2.6*2.3*0.539</f>
        <v>3.22322</v>
      </c>
      <c r="AL10" s="22">
        <f>3.7*3.2*0.539</f>
        <v>6.3817600000000017</v>
      </c>
      <c r="AM10" s="22">
        <f t="shared" si="5"/>
        <v>9.6049800000000012</v>
      </c>
      <c r="AN10" s="22">
        <f t="shared" si="6"/>
        <v>4.8024900000000006</v>
      </c>
      <c r="AO10" s="44"/>
      <c r="AP10" s="22">
        <f>2.5*2.2*0.539</f>
        <v>2.9645000000000001</v>
      </c>
      <c r="AQ10" s="22">
        <f>4.2*3.7*0.539</f>
        <v>8.3760600000000007</v>
      </c>
      <c r="AR10" s="22">
        <f t="shared" si="7"/>
        <v>11.34056</v>
      </c>
      <c r="AS10" s="22">
        <f t="shared" si="8"/>
        <v>5.67028</v>
      </c>
      <c r="AT10" s="44"/>
      <c r="AU10" s="22">
        <f>3.2*3.1*0.539</f>
        <v>5.3468800000000014</v>
      </c>
      <c r="AV10" s="22">
        <f>3*2.5*0.539</f>
        <v>4.0425000000000004</v>
      </c>
      <c r="AW10" s="22">
        <f t="shared" si="9"/>
        <v>9.3893800000000027</v>
      </c>
      <c r="AX10" s="22">
        <f t="shared" si="10"/>
        <v>4.6946900000000014</v>
      </c>
    </row>
    <row r="11" spans="1:50" ht="14.4" x14ac:dyDescent="0.3">
      <c r="A11" s="6" t="s">
        <v>36</v>
      </c>
      <c r="B11" s="23">
        <f t="shared" si="0"/>
        <v>4.2904400000000003</v>
      </c>
      <c r="C11" s="23">
        <f t="shared" si="1"/>
        <v>8.9474</v>
      </c>
      <c r="D11" s="23">
        <f t="shared" si="2"/>
        <v>5.9963750000000005</v>
      </c>
      <c r="E11" s="10">
        <f t="shared" si="3"/>
        <v>19.234214999999999</v>
      </c>
      <c r="F11" s="10">
        <f t="shared" si="4"/>
        <v>6.4114049999999994</v>
      </c>
      <c r="H11" s="8" t="s">
        <v>37</v>
      </c>
      <c r="I11" s="12">
        <f>I9*I10</f>
        <v>6</v>
      </c>
      <c r="J11" s="13">
        <f>J8-J9-J10</f>
        <v>12.418458545975909</v>
      </c>
      <c r="K11" s="13">
        <f t="shared" si="11"/>
        <v>2.0697430909959849</v>
      </c>
      <c r="L11" s="13">
        <f t="shared" si="14"/>
        <v>0.75431541293484949</v>
      </c>
      <c r="M11" t="str">
        <f>IF(L11&lt;N11,"tn",IF(L11&lt;O11,"*","**"))</f>
        <v>tn</v>
      </c>
      <c r="N11" s="13">
        <f t="shared" si="12"/>
        <v>2.5490614138436585</v>
      </c>
      <c r="O11" s="13">
        <f t="shared" si="13"/>
        <v>3.7583014350037565</v>
      </c>
      <c r="AJ11" s="3" t="s">
        <v>32</v>
      </c>
      <c r="AK11" s="22">
        <f>4.5*3.1*0.539</f>
        <v>7.5190500000000009</v>
      </c>
      <c r="AL11" s="22">
        <f>3.9*3*0.539</f>
        <v>6.3063000000000002</v>
      </c>
      <c r="AM11" s="22">
        <f t="shared" si="5"/>
        <v>13.82535</v>
      </c>
      <c r="AN11" s="22">
        <f t="shared" si="6"/>
        <v>6.9126750000000001</v>
      </c>
      <c r="AO11" s="44"/>
      <c r="AP11" s="22">
        <f>3.9*3.1*0.539</f>
        <v>6.5165100000000002</v>
      </c>
      <c r="AQ11" s="22">
        <f>3.6*3*0.539</f>
        <v>5.821200000000001</v>
      </c>
      <c r="AR11" s="22">
        <f t="shared" si="7"/>
        <v>12.337710000000001</v>
      </c>
      <c r="AS11" s="22">
        <f t="shared" si="8"/>
        <v>6.1688550000000006</v>
      </c>
      <c r="AT11" s="44"/>
      <c r="AU11" s="22">
        <f>4.5*3.7*0.539</f>
        <v>8.9743500000000012</v>
      </c>
      <c r="AV11" s="22">
        <f>4.3*3.6*0.539</f>
        <v>8.3437200000000011</v>
      </c>
      <c r="AW11" s="22">
        <f t="shared" si="9"/>
        <v>17.318070000000002</v>
      </c>
      <c r="AX11" s="22">
        <f t="shared" si="10"/>
        <v>8.6590350000000011</v>
      </c>
    </row>
    <row r="12" spans="1:50" x14ac:dyDescent="0.25">
      <c r="A12" s="6" t="s">
        <v>38</v>
      </c>
      <c r="B12" s="23">
        <f t="shared" si="0"/>
        <v>8.1928000000000001</v>
      </c>
      <c r="C12" s="23">
        <f t="shared" si="1"/>
        <v>3.8457650000000005</v>
      </c>
      <c r="D12" s="23">
        <f t="shared" si="2"/>
        <v>7.3896899999999999</v>
      </c>
      <c r="E12" s="10">
        <f t="shared" si="3"/>
        <v>19.428255</v>
      </c>
      <c r="F12" s="10">
        <f t="shared" si="4"/>
        <v>6.4760850000000003</v>
      </c>
      <c r="H12" s="8" t="s">
        <v>39</v>
      </c>
      <c r="I12" s="12">
        <f>I13-I7-I8</f>
        <v>22</v>
      </c>
      <c r="J12" s="13">
        <f>J13-J7-J8</f>
        <v>60.36513005182951</v>
      </c>
      <c r="K12" s="13">
        <f t="shared" si="11"/>
        <v>2.7438695478104322</v>
      </c>
      <c r="L12" s="13"/>
      <c r="M12" s="8"/>
      <c r="N12" s="8"/>
      <c r="O12" s="8"/>
      <c r="AJ12" s="3" t="s">
        <v>34</v>
      </c>
      <c r="AK12" s="22">
        <f>4*3*0.539</f>
        <v>6.468</v>
      </c>
      <c r="AL12" s="22">
        <f>3.1*2.1*0.539</f>
        <v>3.5088900000000005</v>
      </c>
      <c r="AM12" s="22">
        <f t="shared" si="5"/>
        <v>9.9768900000000009</v>
      </c>
      <c r="AN12" s="22">
        <f t="shared" si="6"/>
        <v>4.9884450000000005</v>
      </c>
      <c r="AO12" s="44"/>
      <c r="AP12" s="22">
        <f>2.3*1.6*0.539</f>
        <v>1.9835199999999999</v>
      </c>
      <c r="AQ12" s="22">
        <f>3.9*3.1*0.539</f>
        <v>6.5165100000000002</v>
      </c>
      <c r="AR12" s="22">
        <f t="shared" si="7"/>
        <v>8.5000300000000006</v>
      </c>
      <c r="AS12" s="22">
        <f t="shared" si="8"/>
        <v>4.2500150000000003</v>
      </c>
      <c r="AT12" s="44"/>
      <c r="AU12" s="22">
        <f>5*4.4*0.539</f>
        <v>11.858000000000001</v>
      </c>
      <c r="AV12" s="22">
        <f>3.7*3.1*0.539</f>
        <v>6.1823300000000003</v>
      </c>
      <c r="AW12" s="22">
        <f t="shared" si="9"/>
        <v>18.040330000000001</v>
      </c>
      <c r="AX12" s="22">
        <f t="shared" si="10"/>
        <v>9.0201650000000004</v>
      </c>
    </row>
    <row r="13" spans="1:50" x14ac:dyDescent="0.25">
      <c r="A13" s="6" t="s">
        <v>40</v>
      </c>
      <c r="B13" s="23">
        <f t="shared" si="0"/>
        <v>4.4359700000000002</v>
      </c>
      <c r="C13" s="23">
        <f t="shared" si="1"/>
        <v>6.1095649999999999</v>
      </c>
      <c r="D13" s="23">
        <f t="shared" si="2"/>
        <v>6.5811900000000012</v>
      </c>
      <c r="E13" s="10">
        <f t="shared" si="3"/>
        <v>17.126725</v>
      </c>
      <c r="F13" s="10">
        <f t="shared" si="4"/>
        <v>5.7089083333333335</v>
      </c>
      <c r="H13" s="14" t="s">
        <v>41</v>
      </c>
      <c r="I13" s="15">
        <f>4*3*3-1</f>
        <v>35</v>
      </c>
      <c r="J13" s="16">
        <f>SUMSQ(B3:D14)-I4</f>
        <v>96.325614856625407</v>
      </c>
      <c r="K13" s="14"/>
      <c r="L13" s="14"/>
      <c r="M13" s="14"/>
      <c r="N13" s="14"/>
      <c r="O13" s="14"/>
      <c r="AJ13" s="3" t="s">
        <v>36</v>
      </c>
      <c r="AK13" s="22">
        <f>3*2.6*0.539</f>
        <v>4.204200000000001</v>
      </c>
      <c r="AL13" s="22">
        <f>2.9*2.8*0.539</f>
        <v>4.3766799999999995</v>
      </c>
      <c r="AM13" s="22">
        <f t="shared" si="5"/>
        <v>8.5808800000000005</v>
      </c>
      <c r="AN13" s="22">
        <f t="shared" si="6"/>
        <v>4.2904400000000003</v>
      </c>
      <c r="AO13" s="44"/>
      <c r="AP13" s="22">
        <f>5.3*4*0.539</f>
        <v>11.4268</v>
      </c>
      <c r="AQ13" s="22">
        <f>4*3*0.539</f>
        <v>6.468</v>
      </c>
      <c r="AR13" s="22">
        <f t="shared" si="7"/>
        <v>17.8948</v>
      </c>
      <c r="AS13" s="22">
        <f t="shared" si="8"/>
        <v>8.9474</v>
      </c>
      <c r="AT13" s="44"/>
      <c r="AU13" s="22">
        <f>4*3.5*0.539</f>
        <v>7.5460000000000003</v>
      </c>
      <c r="AV13" s="22">
        <f>3.3*2.5*0.539</f>
        <v>4.4467500000000006</v>
      </c>
      <c r="AW13" s="22">
        <f t="shared" si="9"/>
        <v>11.992750000000001</v>
      </c>
      <c r="AX13" s="22">
        <f t="shared" si="10"/>
        <v>5.9963750000000005</v>
      </c>
    </row>
    <row r="14" spans="1:50" x14ac:dyDescent="0.25">
      <c r="A14" s="6" t="s">
        <v>42</v>
      </c>
      <c r="B14" s="23">
        <f t="shared" si="0"/>
        <v>8.7210199999999993</v>
      </c>
      <c r="C14" s="23">
        <f t="shared" si="1"/>
        <v>6.7267200000000011</v>
      </c>
      <c r="D14" s="23">
        <f t="shared" si="2"/>
        <v>7.3061450000000008</v>
      </c>
      <c r="E14" s="10">
        <f>SUM(B14:D14)</f>
        <v>22.753885</v>
      </c>
      <c r="F14" s="10">
        <f t="shared" si="4"/>
        <v>7.5846283333333337</v>
      </c>
      <c r="AJ14" s="3" t="s">
        <v>38</v>
      </c>
      <c r="AK14" s="22">
        <f>3.8*3*0.539</f>
        <v>6.1445999999999996</v>
      </c>
      <c r="AL14" s="22">
        <f>5*3.8*0.539</f>
        <v>10.241000000000001</v>
      </c>
      <c r="AM14" s="22">
        <f t="shared" si="5"/>
        <v>16.3856</v>
      </c>
      <c r="AN14" s="22">
        <f t="shared" si="6"/>
        <v>8.1928000000000001</v>
      </c>
      <c r="AO14" s="44"/>
      <c r="AP14" s="22">
        <f>3.1*2.6*0.539</f>
        <v>4.3443400000000008</v>
      </c>
      <c r="AQ14" s="22">
        <f>2.7*2.3*0.539</f>
        <v>3.3471900000000003</v>
      </c>
      <c r="AR14" s="22">
        <f t="shared" si="7"/>
        <v>7.6915300000000011</v>
      </c>
      <c r="AS14" s="22">
        <f t="shared" si="8"/>
        <v>3.8457650000000005</v>
      </c>
      <c r="AT14" s="44"/>
      <c r="AU14" s="22">
        <f>3.3*2.9*0.539</f>
        <v>5.1582299999999996</v>
      </c>
      <c r="AV14" s="22">
        <f>5.1*3.5*0.539</f>
        <v>9.6211500000000001</v>
      </c>
      <c r="AW14" s="22">
        <f t="shared" si="9"/>
        <v>14.77938</v>
      </c>
      <c r="AX14" s="22">
        <f t="shared" si="10"/>
        <v>7.3896899999999999</v>
      </c>
    </row>
    <row r="15" spans="1:50" x14ac:dyDescent="0.25">
      <c r="A15" s="6" t="s">
        <v>41</v>
      </c>
      <c r="B15" s="10">
        <f>SUM(B3:B14)</f>
        <v>74.050515000000004</v>
      </c>
      <c r="C15" s="10">
        <f>SUM(C3:C14)</f>
        <v>84.825125</v>
      </c>
      <c r="D15" s="10">
        <f>SUM(D3:D14)</f>
        <v>88.05643000000002</v>
      </c>
      <c r="E15" s="26">
        <f>SUM(E3:E14)</f>
        <v>246.93207000000001</v>
      </c>
      <c r="F15" s="6"/>
      <c r="AJ15" s="3" t="s">
        <v>40</v>
      </c>
      <c r="AK15" s="22">
        <f>3*2.8*0.539</f>
        <v>4.5275999999999996</v>
      </c>
      <c r="AL15" s="22">
        <f>3.1*2.6*0.539</f>
        <v>4.3443400000000008</v>
      </c>
      <c r="AM15" s="22">
        <f t="shared" si="5"/>
        <v>8.8719400000000004</v>
      </c>
      <c r="AN15" s="22">
        <f t="shared" si="6"/>
        <v>4.4359700000000002</v>
      </c>
      <c r="AO15" s="44"/>
      <c r="AP15" s="22">
        <f>3.3*2.7*0.539</f>
        <v>4.8024900000000006</v>
      </c>
      <c r="AQ15" s="22">
        <f>4.3*3.2*0.539</f>
        <v>7.4166400000000001</v>
      </c>
      <c r="AR15" s="22">
        <f t="shared" si="7"/>
        <v>12.21913</v>
      </c>
      <c r="AS15" s="22">
        <f t="shared" si="8"/>
        <v>6.1095649999999999</v>
      </c>
      <c r="AT15" s="44"/>
      <c r="AU15" s="22">
        <f>3*2.7*0.539</f>
        <v>4.3659000000000008</v>
      </c>
      <c r="AV15" s="22">
        <f>4.8*3.4*0.539</f>
        <v>8.7964800000000007</v>
      </c>
      <c r="AW15" s="22">
        <f t="shared" si="9"/>
        <v>13.162380000000002</v>
      </c>
      <c r="AX15" s="22">
        <f t="shared" si="10"/>
        <v>6.5811900000000012</v>
      </c>
    </row>
    <row r="16" spans="1:50" x14ac:dyDescent="0.25">
      <c r="AJ16" s="3" t="s">
        <v>42</v>
      </c>
      <c r="AK16" s="22">
        <f>5*3.7*0.539</f>
        <v>9.9715000000000007</v>
      </c>
      <c r="AL16" s="22">
        <f>4.2*3.3*0.539</f>
        <v>7.4705399999999997</v>
      </c>
      <c r="AM16" s="22">
        <f t="shared" si="5"/>
        <v>17.442039999999999</v>
      </c>
      <c r="AN16" s="22">
        <f t="shared" si="6"/>
        <v>8.7210199999999993</v>
      </c>
      <c r="AO16" s="45"/>
      <c r="AP16" s="22">
        <f>4.4*3.2*0.539</f>
        <v>7.5891200000000012</v>
      </c>
      <c r="AQ16" s="22">
        <f>3.4*3.2*0.539</f>
        <v>5.8643200000000011</v>
      </c>
      <c r="AR16" s="22">
        <f t="shared" si="7"/>
        <v>13.453440000000002</v>
      </c>
      <c r="AS16" s="22">
        <f t="shared" si="8"/>
        <v>6.7267200000000011</v>
      </c>
      <c r="AT16" s="45"/>
      <c r="AU16" s="22">
        <f>4*2.8*0.539</f>
        <v>6.0368000000000004</v>
      </c>
      <c r="AV16" s="22">
        <f>4.3*3.7*0.539</f>
        <v>8.5754900000000003</v>
      </c>
      <c r="AW16" s="22">
        <f t="shared" si="9"/>
        <v>14.612290000000002</v>
      </c>
      <c r="AX16" s="22">
        <f t="shared" si="10"/>
        <v>7.3061450000000008</v>
      </c>
    </row>
    <row r="17" spans="1:7" x14ac:dyDescent="0.25">
      <c r="A17" s="8" t="s">
        <v>43</v>
      </c>
      <c r="B17" s="8"/>
      <c r="C17" s="8"/>
      <c r="D17" s="8"/>
      <c r="E17" s="8"/>
      <c r="F17" s="8"/>
    </row>
    <row r="18" spans="1:7" x14ac:dyDescent="0.25">
      <c r="A18" s="35" t="s">
        <v>33</v>
      </c>
      <c r="B18" s="39" t="s">
        <v>35</v>
      </c>
      <c r="C18" s="40"/>
      <c r="D18" s="41"/>
      <c r="E18" s="3" t="s">
        <v>5</v>
      </c>
      <c r="F18" s="18" t="s">
        <v>44</v>
      </c>
    </row>
    <row r="19" spans="1:7" x14ac:dyDescent="0.25">
      <c r="A19" s="35"/>
      <c r="B19" s="6" t="s">
        <v>45</v>
      </c>
      <c r="C19" s="6" t="s">
        <v>46</v>
      </c>
      <c r="D19" s="6" t="s">
        <v>47</v>
      </c>
      <c r="E19" s="3"/>
      <c r="F19" s="18"/>
    </row>
    <row r="20" spans="1:7" x14ac:dyDescent="0.25">
      <c r="A20" s="6" t="s">
        <v>48</v>
      </c>
      <c r="B20" s="19">
        <f>E3</f>
        <v>23.716000000000001</v>
      </c>
      <c r="C20" s="19">
        <f>E7</f>
        <v>22.511335000000003</v>
      </c>
      <c r="D20" s="19">
        <f>E11</f>
        <v>19.234214999999999</v>
      </c>
      <c r="E20" s="19">
        <f>SUM(B20:D20)</f>
        <v>65.461550000000003</v>
      </c>
      <c r="F20" s="10">
        <f>E20/9</f>
        <v>7.2735055555555554</v>
      </c>
    </row>
    <row r="21" spans="1:7" x14ac:dyDescent="0.25">
      <c r="A21" s="6" t="s">
        <v>49</v>
      </c>
      <c r="B21" s="19">
        <f>E4</f>
        <v>21.241990000000001</v>
      </c>
      <c r="C21" s="19">
        <f>E8</f>
        <v>15.167460000000002</v>
      </c>
      <c r="D21" s="19">
        <f>E12</f>
        <v>19.428255</v>
      </c>
      <c r="E21" s="10">
        <f>SUM(B21:D21)</f>
        <v>55.837705000000007</v>
      </c>
      <c r="F21" s="10">
        <f>E21/9</f>
        <v>6.2041894444444452</v>
      </c>
    </row>
    <row r="22" spans="1:7" x14ac:dyDescent="0.25">
      <c r="A22" s="9" t="s">
        <v>50</v>
      </c>
      <c r="B22" s="20">
        <f>E5</f>
        <v>23.433025000000004</v>
      </c>
      <c r="C22" s="20">
        <f>E9</f>
        <v>21.740565000000004</v>
      </c>
      <c r="D22" s="20">
        <f>E13</f>
        <v>17.126725</v>
      </c>
      <c r="E22" s="19">
        <f>SUM(B22:D22)</f>
        <v>62.300315000000005</v>
      </c>
      <c r="F22" s="10">
        <f t="shared" ref="F22:F23" si="15">E22/9</f>
        <v>6.9222572222222229</v>
      </c>
    </row>
    <row r="23" spans="1:7" x14ac:dyDescent="0.25">
      <c r="A23" s="9" t="s">
        <v>51</v>
      </c>
      <c r="B23" s="20">
        <f>E6</f>
        <v>22.319990000000001</v>
      </c>
      <c r="C23" s="20">
        <f>E10</f>
        <v>18.258625000000002</v>
      </c>
      <c r="D23" s="20">
        <f>E14</f>
        <v>22.753885</v>
      </c>
      <c r="E23" s="10">
        <f t="shared" ref="E23" si="16">SUM(B23:D23)</f>
        <v>63.332499999999996</v>
      </c>
      <c r="F23" s="10">
        <f t="shared" si="15"/>
        <v>7.036944444444444</v>
      </c>
    </row>
    <row r="24" spans="1:7" x14ac:dyDescent="0.25">
      <c r="A24" s="6" t="s">
        <v>5</v>
      </c>
      <c r="B24" s="19">
        <f>SUM(B20:B23)</f>
        <v>90.711005000000014</v>
      </c>
      <c r="C24" s="19">
        <f>SUM(C20:C23)</f>
        <v>77.677985000000007</v>
      </c>
      <c r="D24" s="19">
        <f>SUM(D20:D23)</f>
        <v>78.543080000000003</v>
      </c>
      <c r="E24" s="10">
        <f>SUM(B24:D24)</f>
        <v>246.93207000000004</v>
      </c>
      <c r="F24" s="6"/>
    </row>
    <row r="25" spans="1:7" x14ac:dyDescent="0.25">
      <c r="A25" s="6" t="s">
        <v>44</v>
      </c>
      <c r="B25" s="10">
        <f>B24/12</f>
        <v>7.5592504166666679</v>
      </c>
      <c r="C25" s="10">
        <f t="shared" ref="C25:D25" si="17">C24/12</f>
        <v>6.4731654166666672</v>
      </c>
      <c r="D25" s="10">
        <f t="shared" si="17"/>
        <v>6.5452566666666669</v>
      </c>
      <c r="E25" s="6"/>
      <c r="F25" s="6"/>
      <c r="G25" s="8"/>
    </row>
  </sheetData>
  <mergeCells count="18">
    <mergeCell ref="A1:A2"/>
    <mergeCell ref="B1:D1"/>
    <mergeCell ref="E1:E2"/>
    <mergeCell ref="F1:F2"/>
    <mergeCell ref="A18:A19"/>
    <mergeCell ref="B18:D18"/>
    <mergeCell ref="AX3:AX4"/>
    <mergeCell ref="AJ3:AJ4"/>
    <mergeCell ref="AK3:AL3"/>
    <mergeCell ref="AM3:AM4"/>
    <mergeCell ref="AN3:AN4"/>
    <mergeCell ref="AO3:AO16"/>
    <mergeCell ref="AP3:AQ3"/>
    <mergeCell ref="AR3:AR4"/>
    <mergeCell ref="AS3:AS4"/>
    <mergeCell ref="AT3:AT16"/>
    <mergeCell ref="AU3:AV3"/>
    <mergeCell ref="AW3:AW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X25"/>
  <sheetViews>
    <sheetView topLeftCell="C1" zoomScale="90" zoomScaleNormal="90" workbookViewId="0">
      <selection activeCell="AJ2" sqref="AJ2:AX16"/>
    </sheetView>
  </sheetViews>
  <sheetFormatPr defaultColWidth="8.88671875" defaultRowHeight="13.8" x14ac:dyDescent="0.25"/>
  <cols>
    <col min="1" max="1" width="10.6640625" style="1" bestFit="1" customWidth="1"/>
    <col min="2" max="6" width="8.88671875" style="1"/>
    <col min="7" max="7" width="3.33203125" style="1" customWidth="1"/>
    <col min="8" max="12" width="8.88671875" style="1"/>
    <col min="13" max="13" width="2.88671875" style="1" bestFit="1" customWidth="1"/>
    <col min="14" max="15" width="8.88671875" style="1"/>
    <col min="16" max="16" width="2.5546875" style="1" customWidth="1"/>
    <col min="17" max="17" width="9.88671875" style="1" customWidth="1"/>
    <col min="18" max="19" width="10.5546875" style="1" bestFit="1" customWidth="1"/>
    <col min="20" max="21" width="8.88671875" style="1"/>
    <col min="22" max="22" width="3.33203125" style="1" customWidth="1"/>
    <col min="23" max="24" width="10.5546875" style="1" bestFit="1" customWidth="1"/>
    <col min="25" max="26" width="8.88671875" style="1"/>
    <col min="27" max="27" width="3" style="1" customWidth="1"/>
    <col min="28" max="29" width="10.5546875" style="1" bestFit="1" customWidth="1"/>
    <col min="30" max="16384" width="8.88671875" style="1"/>
  </cols>
  <sheetData>
    <row r="1" spans="1:50" x14ac:dyDescent="0.25">
      <c r="A1" s="35" t="s">
        <v>3</v>
      </c>
      <c r="B1" s="36" t="s">
        <v>15</v>
      </c>
      <c r="C1" s="36"/>
      <c r="D1" s="36"/>
      <c r="E1" s="37" t="s">
        <v>5</v>
      </c>
      <c r="F1" s="37" t="s">
        <v>16</v>
      </c>
      <c r="H1" s="1" t="s">
        <v>0</v>
      </c>
      <c r="I1" s="1">
        <v>4</v>
      </c>
    </row>
    <row r="2" spans="1:50" x14ac:dyDescent="0.25">
      <c r="A2" s="35"/>
      <c r="B2" s="6" t="s">
        <v>18</v>
      </c>
      <c r="C2" s="6" t="s">
        <v>19</v>
      </c>
      <c r="D2" s="6" t="s">
        <v>20</v>
      </c>
      <c r="E2" s="38"/>
      <c r="F2" s="38"/>
      <c r="H2" s="1" t="s">
        <v>1</v>
      </c>
      <c r="I2" s="1">
        <v>3</v>
      </c>
      <c r="AJ2" s="2" t="s">
        <v>53</v>
      </c>
    </row>
    <row r="3" spans="1:50" x14ac:dyDescent="0.25">
      <c r="A3" s="6" t="s">
        <v>13</v>
      </c>
      <c r="B3" s="23">
        <f t="shared" ref="B3:B14" si="0">AN5</f>
        <v>22.069355000000002</v>
      </c>
      <c r="C3" s="23">
        <f t="shared" ref="C3:C14" si="1">AS5</f>
        <v>19.355490000000003</v>
      </c>
      <c r="D3" s="23">
        <f t="shared" ref="D3:D14" si="2">AX5</f>
        <v>19.705840000000002</v>
      </c>
      <c r="E3" s="10">
        <f>SUM(B3:D3)</f>
        <v>61.130685000000007</v>
      </c>
      <c r="F3" s="10">
        <f>AVERAGE(B3:D3)</f>
        <v>20.376895000000001</v>
      </c>
      <c r="H3" s="1" t="s">
        <v>2</v>
      </c>
      <c r="I3" s="1">
        <v>3</v>
      </c>
      <c r="AJ3" s="35" t="s">
        <v>3</v>
      </c>
      <c r="AK3" s="42" t="s">
        <v>4</v>
      </c>
      <c r="AL3" s="42"/>
      <c r="AM3" s="42" t="s">
        <v>5</v>
      </c>
      <c r="AN3" s="42" t="s">
        <v>6</v>
      </c>
      <c r="AO3" s="43"/>
      <c r="AP3" s="42" t="s">
        <v>7</v>
      </c>
      <c r="AQ3" s="42"/>
      <c r="AR3" s="42" t="s">
        <v>5</v>
      </c>
      <c r="AS3" s="42" t="s">
        <v>6</v>
      </c>
      <c r="AT3" s="43"/>
      <c r="AU3" s="42" t="s">
        <v>8</v>
      </c>
      <c r="AV3" s="42"/>
      <c r="AW3" s="42" t="s">
        <v>9</v>
      </c>
      <c r="AX3" s="42" t="s">
        <v>6</v>
      </c>
    </row>
    <row r="4" spans="1:50" x14ac:dyDescent="0.25">
      <c r="A4" s="6" t="s">
        <v>14</v>
      </c>
      <c r="B4" s="23">
        <f t="shared" si="0"/>
        <v>10.106249999999999</v>
      </c>
      <c r="C4" s="23">
        <f t="shared" si="1"/>
        <v>14.712005000000001</v>
      </c>
      <c r="D4" s="23">
        <f t="shared" si="2"/>
        <v>16.881480000000003</v>
      </c>
      <c r="E4" s="10">
        <f t="shared" ref="E4:E13" si="3">SUM(B4:D4)</f>
        <v>41.699735000000004</v>
      </c>
      <c r="F4" s="10">
        <f t="shared" ref="F4:F14" si="4">AVERAGE(B4:D4)</f>
        <v>13.899911666666668</v>
      </c>
      <c r="H4" s="1" t="s">
        <v>10</v>
      </c>
      <c r="I4" s="5">
        <f>E15^2/36</f>
        <v>9391.1909900448045</v>
      </c>
      <c r="AJ4" s="35"/>
      <c r="AK4" s="4" t="s">
        <v>11</v>
      </c>
      <c r="AL4" s="4" t="s">
        <v>12</v>
      </c>
      <c r="AM4" s="42"/>
      <c r="AN4" s="42"/>
      <c r="AO4" s="44"/>
      <c r="AP4" s="4" t="s">
        <v>11</v>
      </c>
      <c r="AQ4" s="4" t="s">
        <v>12</v>
      </c>
      <c r="AR4" s="42"/>
      <c r="AS4" s="42"/>
      <c r="AT4" s="44"/>
      <c r="AU4" s="4" t="s">
        <v>11</v>
      </c>
      <c r="AV4" s="4" t="s">
        <v>12</v>
      </c>
      <c r="AW4" s="42"/>
      <c r="AX4" s="42"/>
    </row>
    <row r="5" spans="1:50" x14ac:dyDescent="0.25">
      <c r="A5" s="6" t="s">
        <v>17</v>
      </c>
      <c r="B5" s="23">
        <f t="shared" si="0"/>
        <v>15.792700000000002</v>
      </c>
      <c r="C5" s="23">
        <f t="shared" si="1"/>
        <v>16.655100000000001</v>
      </c>
      <c r="D5" s="23">
        <f t="shared" si="2"/>
        <v>20.67604</v>
      </c>
      <c r="E5" s="10">
        <f t="shared" si="3"/>
        <v>53.123840000000001</v>
      </c>
      <c r="F5" s="10">
        <f t="shared" si="4"/>
        <v>17.707946666666668</v>
      </c>
      <c r="H5" s="7" t="s">
        <v>55</v>
      </c>
      <c r="I5" s="8"/>
      <c r="J5" s="8"/>
      <c r="K5" s="8"/>
      <c r="L5" s="8"/>
      <c r="M5" s="8"/>
      <c r="N5" s="8"/>
      <c r="O5" s="8"/>
      <c r="AJ5" s="3" t="s">
        <v>13</v>
      </c>
      <c r="AK5" s="22">
        <f>6.5*5.7*0.539</f>
        <v>19.969950000000004</v>
      </c>
      <c r="AL5" s="22">
        <f>7.6*5.9*0.539</f>
        <v>24.168760000000002</v>
      </c>
      <c r="AM5" s="22">
        <f>SUM(AK5:AL5)</f>
        <v>44.138710000000003</v>
      </c>
      <c r="AN5" s="22">
        <f>AVERAGE(AK5:AL5)</f>
        <v>22.069355000000002</v>
      </c>
      <c r="AO5" s="44"/>
      <c r="AP5" s="22">
        <f>6.7*6*0.539</f>
        <v>21.667800000000003</v>
      </c>
      <c r="AQ5" s="22">
        <f>6.2*5.1*0.539</f>
        <v>17.04318</v>
      </c>
      <c r="AR5" s="22">
        <f>SUM(AP5:AQ5)</f>
        <v>38.710980000000006</v>
      </c>
      <c r="AS5" s="22">
        <f>AVERAGE(AP5:AQ5)</f>
        <v>19.355490000000003</v>
      </c>
      <c r="AT5" s="44"/>
      <c r="AU5" s="22">
        <f>7.7*6.2*0.539</f>
        <v>25.731860000000001</v>
      </c>
      <c r="AV5" s="22">
        <f>5.4*4.7*0.539</f>
        <v>13.679820000000003</v>
      </c>
      <c r="AW5" s="22">
        <f>SUM(AU5:AV5)</f>
        <v>39.411680000000004</v>
      </c>
      <c r="AX5" s="22">
        <f>AVERAGE(AU5:AV5)</f>
        <v>19.705840000000002</v>
      </c>
    </row>
    <row r="6" spans="1:50" x14ac:dyDescent="0.25">
      <c r="A6" s="6" t="s">
        <v>21</v>
      </c>
      <c r="B6" s="23">
        <f t="shared" si="0"/>
        <v>15.361499999999999</v>
      </c>
      <c r="C6" s="23">
        <f t="shared" si="1"/>
        <v>28.529270000000004</v>
      </c>
      <c r="D6" s="23">
        <f t="shared" si="2"/>
        <v>15.482775000000002</v>
      </c>
      <c r="E6" s="10">
        <f t="shared" si="3"/>
        <v>59.373545000000007</v>
      </c>
      <c r="F6" s="10">
        <f t="shared" si="4"/>
        <v>19.79118166666667</v>
      </c>
      <c r="H6" s="11" t="s">
        <v>22</v>
      </c>
      <c r="I6" s="11" t="s">
        <v>23</v>
      </c>
      <c r="J6" s="11" t="s">
        <v>24</v>
      </c>
      <c r="K6" s="11" t="s">
        <v>25</v>
      </c>
      <c r="L6" s="11" t="s">
        <v>26</v>
      </c>
      <c r="M6" s="11"/>
      <c r="N6" s="11" t="s">
        <v>27</v>
      </c>
      <c r="O6" s="11" t="s">
        <v>28</v>
      </c>
      <c r="AJ6" s="3" t="s">
        <v>14</v>
      </c>
      <c r="AK6" s="22">
        <f>5.5*5.1*0.539</f>
        <v>15.11895</v>
      </c>
      <c r="AL6" s="22">
        <f>4.5*2.1*0.539</f>
        <v>5.0935500000000005</v>
      </c>
      <c r="AM6" s="22">
        <f t="shared" ref="AM6:AM16" si="5">SUM(AK6:AL6)</f>
        <v>20.212499999999999</v>
      </c>
      <c r="AN6" s="22">
        <f t="shared" ref="AN6:AN16" si="6">AVERAGE(AK6:AL6)</f>
        <v>10.106249999999999</v>
      </c>
      <c r="AO6" s="44"/>
      <c r="AP6" s="22">
        <f>6.7*4.7*0.539</f>
        <v>16.973110000000002</v>
      </c>
      <c r="AQ6" s="22">
        <f>5.5*4.2*0.539</f>
        <v>12.450900000000001</v>
      </c>
      <c r="AR6" s="22">
        <f t="shared" ref="AR6:AR16" si="7">SUM(AP6:AQ6)</f>
        <v>29.424010000000003</v>
      </c>
      <c r="AS6" s="22">
        <f t="shared" ref="AS6:AS16" si="8">AVERAGE(AP6:AQ6)</f>
        <v>14.712005000000001</v>
      </c>
      <c r="AT6" s="44"/>
      <c r="AU6" s="22">
        <f>6*4.5*0.539</f>
        <v>14.553000000000001</v>
      </c>
      <c r="AV6" s="22">
        <f>6.6*5.4*0.539</f>
        <v>19.209960000000002</v>
      </c>
      <c r="AW6" s="22">
        <f t="shared" ref="AW6:AW16" si="9">SUM(AU6:AV6)</f>
        <v>33.762960000000007</v>
      </c>
      <c r="AX6" s="22">
        <f t="shared" ref="AX6:AX16" si="10">AVERAGE(AU6:AV6)</f>
        <v>16.881480000000003</v>
      </c>
    </row>
    <row r="7" spans="1:50" ht="14.4" x14ac:dyDescent="0.3">
      <c r="A7" s="6" t="s">
        <v>29</v>
      </c>
      <c r="B7" s="23">
        <f t="shared" si="0"/>
        <v>13.493865000000001</v>
      </c>
      <c r="C7" s="23">
        <f t="shared" si="1"/>
        <v>16.983890000000002</v>
      </c>
      <c r="D7" s="23">
        <f t="shared" si="2"/>
        <v>19.759740000000001</v>
      </c>
      <c r="E7" s="10">
        <f t="shared" si="3"/>
        <v>50.237495000000003</v>
      </c>
      <c r="F7" s="10">
        <f t="shared" si="4"/>
        <v>16.745831666666668</v>
      </c>
      <c r="H7" s="8" t="s">
        <v>30</v>
      </c>
      <c r="I7" s="12">
        <v>2</v>
      </c>
      <c r="J7" s="13">
        <f>SUMSQ(B15:D15)/12-I4</f>
        <v>44.684999905382938</v>
      </c>
      <c r="K7" s="13">
        <f>J7/I7</f>
        <v>22.342499952691469</v>
      </c>
      <c r="L7" s="13">
        <f>K7/K$12</f>
        <v>1.2054263542304733</v>
      </c>
      <c r="M7" t="str">
        <f>IF(L7&lt;N7,"tn",IF(L7&lt;O7,"*","**"))</f>
        <v>tn</v>
      </c>
      <c r="N7" s="13">
        <f>FINV(0.05,I7,I$12)</f>
        <v>3.4433567793667246</v>
      </c>
      <c r="O7" s="13">
        <f>FINV(0.01,I7,I$12)</f>
        <v>5.7190219124822725</v>
      </c>
      <c r="AJ7" s="3" t="s">
        <v>17</v>
      </c>
      <c r="AK7" s="22">
        <f>6.2*4*0.539</f>
        <v>13.3672</v>
      </c>
      <c r="AL7" s="22">
        <f>6.5*5.2*0.539</f>
        <v>18.218200000000003</v>
      </c>
      <c r="AM7" s="22">
        <f t="shared" si="5"/>
        <v>31.585400000000003</v>
      </c>
      <c r="AN7" s="22">
        <f t="shared" si="6"/>
        <v>15.792700000000002</v>
      </c>
      <c r="AO7" s="44"/>
      <c r="AP7" s="22">
        <f>5.2*4.3*0.539</f>
        <v>12.05204</v>
      </c>
      <c r="AQ7" s="22">
        <f>6.8*5.8*0.539</f>
        <v>21.25816</v>
      </c>
      <c r="AR7" s="22">
        <f t="shared" si="7"/>
        <v>33.310200000000002</v>
      </c>
      <c r="AS7" s="22">
        <f t="shared" si="8"/>
        <v>16.655100000000001</v>
      </c>
      <c r="AT7" s="44"/>
      <c r="AU7" s="22">
        <f>7*5.2*0.539</f>
        <v>19.619600000000002</v>
      </c>
      <c r="AV7" s="22">
        <f>7.2*5.6*0.539</f>
        <v>21.732480000000002</v>
      </c>
      <c r="AW7" s="22">
        <f t="shared" si="9"/>
        <v>41.352080000000001</v>
      </c>
      <c r="AX7" s="22">
        <f t="shared" si="10"/>
        <v>20.67604</v>
      </c>
    </row>
    <row r="8" spans="1:50" ht="14.4" x14ac:dyDescent="0.3">
      <c r="A8" s="6" t="s">
        <v>31</v>
      </c>
      <c r="B8" s="23">
        <f t="shared" si="0"/>
        <v>10.281425000000002</v>
      </c>
      <c r="C8" s="23">
        <f t="shared" si="1"/>
        <v>13.084225</v>
      </c>
      <c r="D8" s="23">
        <f t="shared" si="2"/>
        <v>13.72833</v>
      </c>
      <c r="E8" s="10">
        <f t="shared" si="3"/>
        <v>37.093980000000002</v>
      </c>
      <c r="F8" s="10">
        <f t="shared" si="4"/>
        <v>12.364660000000001</v>
      </c>
      <c r="H8" s="8" t="s">
        <v>3</v>
      </c>
      <c r="I8" s="12">
        <f>I1*I2-1</f>
        <v>11</v>
      </c>
      <c r="J8" s="13">
        <f>SUMSQ(E3:E14)/3-I4</f>
        <v>264.69502494387234</v>
      </c>
      <c r="K8" s="13">
        <f t="shared" ref="K8:K12" si="11">J8/I8</f>
        <v>24.063184085806576</v>
      </c>
      <c r="L8" s="13">
        <f>K8/K$12</f>
        <v>1.2982609969855381</v>
      </c>
      <c r="M8" t="str">
        <f>IF(L8&lt;N8,"tn",IF(L8&lt;O8,"*","**"))</f>
        <v>tn</v>
      </c>
      <c r="N8" s="13">
        <f t="shared" ref="N8:N11" si="12">FINV(0.05,I8,I$12)</f>
        <v>2.2585183566229916</v>
      </c>
      <c r="O8" s="13">
        <f t="shared" ref="O8:O11" si="13">FINV(0.01,I8,I$12)</f>
        <v>3.1837421959607717</v>
      </c>
      <c r="AJ8" s="3" t="s">
        <v>21</v>
      </c>
      <c r="AK8" s="22">
        <f>7.5*5.2*0.539</f>
        <v>21.021000000000001</v>
      </c>
      <c r="AL8" s="22">
        <f>4.5*4*0.539</f>
        <v>9.702</v>
      </c>
      <c r="AM8" s="22">
        <f t="shared" si="5"/>
        <v>30.722999999999999</v>
      </c>
      <c r="AN8" s="22">
        <f t="shared" si="6"/>
        <v>15.361499999999999</v>
      </c>
      <c r="AO8" s="44"/>
      <c r="AP8" s="22">
        <f>8.7*6.7*0.539</f>
        <v>31.418310000000002</v>
      </c>
      <c r="AQ8" s="22">
        <f>7.1*6.7*0.539</f>
        <v>25.640230000000003</v>
      </c>
      <c r="AR8" s="22">
        <f t="shared" si="7"/>
        <v>57.058540000000008</v>
      </c>
      <c r="AS8" s="22">
        <f t="shared" si="8"/>
        <v>28.529270000000004</v>
      </c>
      <c r="AT8" s="44"/>
      <c r="AU8" s="22">
        <f>7.3*6.4*0.539</f>
        <v>25.182080000000003</v>
      </c>
      <c r="AV8" s="22">
        <f>3.7*2.9*0.539</f>
        <v>5.7834700000000003</v>
      </c>
      <c r="AW8" s="22">
        <f t="shared" si="9"/>
        <v>30.965550000000004</v>
      </c>
      <c r="AX8" s="22">
        <f t="shared" si="10"/>
        <v>15.482775000000002</v>
      </c>
    </row>
    <row r="9" spans="1:50" ht="14.4" x14ac:dyDescent="0.3">
      <c r="A9" s="6" t="s">
        <v>32</v>
      </c>
      <c r="B9" s="23">
        <f t="shared" si="0"/>
        <v>19.220739999999999</v>
      </c>
      <c r="C9" s="23">
        <f t="shared" si="1"/>
        <v>10.6722</v>
      </c>
      <c r="D9" s="23">
        <f t="shared" si="2"/>
        <v>24.271170000000001</v>
      </c>
      <c r="E9" s="10">
        <f t="shared" si="3"/>
        <v>54.164110000000001</v>
      </c>
      <c r="F9" s="10">
        <f t="shared" si="4"/>
        <v>18.054703333333332</v>
      </c>
      <c r="H9" s="8" t="s">
        <v>33</v>
      </c>
      <c r="I9" s="12">
        <f>I1-1</f>
        <v>3</v>
      </c>
      <c r="J9" s="13">
        <f>SUMSQ(E20:E23)/9-I4</f>
        <v>75.382451264582414</v>
      </c>
      <c r="K9" s="13">
        <f t="shared" si="11"/>
        <v>25.127483754860805</v>
      </c>
      <c r="L9" s="13">
        <f t="shared" ref="L9:L11" si="14">K9/K$12</f>
        <v>1.3556822735925989</v>
      </c>
      <c r="M9" t="str">
        <f>IF(L9&lt;N9,"tn",IF(L9&lt;O9,"*","**"))</f>
        <v>tn</v>
      </c>
      <c r="N9" s="13">
        <f t="shared" si="12"/>
        <v>3.0491249886524128</v>
      </c>
      <c r="O9" s="13">
        <f t="shared" si="13"/>
        <v>4.8166057778160596</v>
      </c>
      <c r="AJ9" s="3" t="s">
        <v>29</v>
      </c>
      <c r="AK9" s="22">
        <f>5.9*4.5*0.539</f>
        <v>14.310450000000001</v>
      </c>
      <c r="AL9" s="22">
        <f>5.6*4.2*0.539</f>
        <v>12.677280000000001</v>
      </c>
      <c r="AM9" s="22">
        <f t="shared" si="5"/>
        <v>26.987730000000003</v>
      </c>
      <c r="AN9" s="22">
        <f t="shared" si="6"/>
        <v>13.493865000000001</v>
      </c>
      <c r="AO9" s="44"/>
      <c r="AP9" s="22">
        <f>6.9*5.6*0.539</f>
        <v>20.826960000000003</v>
      </c>
      <c r="AQ9" s="22">
        <f>5.3*4.6*0.539</f>
        <v>13.14082</v>
      </c>
      <c r="AR9" s="22">
        <f t="shared" si="7"/>
        <v>33.967780000000005</v>
      </c>
      <c r="AS9" s="22">
        <f t="shared" si="8"/>
        <v>16.983890000000002</v>
      </c>
      <c r="AT9" s="44"/>
      <c r="AU9" s="22">
        <f>7*5.2*0.539</f>
        <v>19.619600000000002</v>
      </c>
      <c r="AV9" s="22">
        <f>7.1*5.2*0.539</f>
        <v>19.899880000000003</v>
      </c>
      <c r="AW9" s="22">
        <f t="shared" si="9"/>
        <v>39.519480000000001</v>
      </c>
      <c r="AX9" s="22">
        <f t="shared" si="10"/>
        <v>19.759740000000001</v>
      </c>
    </row>
    <row r="10" spans="1:50" ht="14.4" x14ac:dyDescent="0.3">
      <c r="A10" s="6" t="s">
        <v>34</v>
      </c>
      <c r="B10" s="23">
        <f t="shared" si="0"/>
        <v>16.186170000000001</v>
      </c>
      <c r="C10" s="23">
        <f t="shared" si="1"/>
        <v>10.618300000000001</v>
      </c>
      <c r="D10" s="23">
        <f t="shared" si="2"/>
        <v>16.601199999999999</v>
      </c>
      <c r="E10" s="10">
        <f t="shared" si="3"/>
        <v>43.405670000000001</v>
      </c>
      <c r="F10" s="10">
        <f t="shared" si="4"/>
        <v>14.468556666666666</v>
      </c>
      <c r="H10" s="8" t="s">
        <v>35</v>
      </c>
      <c r="I10" s="12">
        <f>I2-1</f>
        <v>2</v>
      </c>
      <c r="J10" s="13">
        <f>SUMSQ(B24:D24)/12-I4</f>
        <v>58.40771213071821</v>
      </c>
      <c r="K10" s="13">
        <f t="shared" si="11"/>
        <v>29.203856065359105</v>
      </c>
      <c r="L10" s="13">
        <f t="shared" si="14"/>
        <v>1.5756114052087806</v>
      </c>
      <c r="M10" t="str">
        <f>IF(L10&lt;N10,"tn",IF(L10&lt;O10,"*","**"))</f>
        <v>tn</v>
      </c>
      <c r="N10" s="13">
        <f t="shared" si="12"/>
        <v>3.4433567793667246</v>
      </c>
      <c r="O10" s="13">
        <f t="shared" si="13"/>
        <v>5.7190219124822725</v>
      </c>
      <c r="AJ10" s="3" t="s">
        <v>31</v>
      </c>
      <c r="AK10" s="22">
        <f>3.5*3.2*0.539</f>
        <v>6.0368000000000013</v>
      </c>
      <c r="AL10" s="22">
        <f>5.5*4.9*0.539</f>
        <v>14.526050000000003</v>
      </c>
      <c r="AM10" s="22">
        <f t="shared" si="5"/>
        <v>20.562850000000005</v>
      </c>
      <c r="AN10" s="22">
        <f t="shared" si="6"/>
        <v>10.281425000000002</v>
      </c>
      <c r="AO10" s="44"/>
      <c r="AP10" s="22">
        <f>4.5*4*0.539</f>
        <v>9.702</v>
      </c>
      <c r="AQ10" s="22">
        <f>6.5*4.7*0.539</f>
        <v>16.466450000000002</v>
      </c>
      <c r="AR10" s="22">
        <f t="shared" si="7"/>
        <v>26.16845</v>
      </c>
      <c r="AS10" s="22">
        <f t="shared" si="8"/>
        <v>13.084225</v>
      </c>
      <c r="AT10" s="44"/>
      <c r="AU10" s="22">
        <f>5.3*5*0.539</f>
        <v>14.2835</v>
      </c>
      <c r="AV10" s="22">
        <f>5.2*4.7*0.539</f>
        <v>13.173160000000001</v>
      </c>
      <c r="AW10" s="22">
        <f t="shared" si="9"/>
        <v>27.456659999999999</v>
      </c>
      <c r="AX10" s="22">
        <f t="shared" si="10"/>
        <v>13.72833</v>
      </c>
    </row>
    <row r="11" spans="1:50" ht="14.4" x14ac:dyDescent="0.3">
      <c r="A11" s="6" t="s">
        <v>36</v>
      </c>
      <c r="B11" s="23">
        <f t="shared" si="0"/>
        <v>8.7210199999999993</v>
      </c>
      <c r="C11" s="23">
        <f t="shared" si="1"/>
        <v>18.013380000000002</v>
      </c>
      <c r="D11" s="23">
        <f t="shared" si="2"/>
        <v>14.078680000000002</v>
      </c>
      <c r="E11" s="10">
        <f t="shared" si="3"/>
        <v>40.813079999999999</v>
      </c>
      <c r="F11" s="10">
        <f t="shared" si="4"/>
        <v>13.60436</v>
      </c>
      <c r="H11" s="8" t="s">
        <v>37</v>
      </c>
      <c r="I11" s="12">
        <f>I9*I10</f>
        <v>6</v>
      </c>
      <c r="J11" s="13">
        <f>J8-J9-J10</f>
        <v>130.90486154857172</v>
      </c>
      <c r="K11" s="13">
        <f t="shared" si="11"/>
        <v>21.817476924761952</v>
      </c>
      <c r="L11" s="13">
        <f t="shared" si="14"/>
        <v>1.1771002226075937</v>
      </c>
      <c r="M11" t="str">
        <f>IF(L11&lt;N11,"tn",IF(L11&lt;O11,"*","**"))</f>
        <v>tn</v>
      </c>
      <c r="N11" s="13">
        <f t="shared" si="12"/>
        <v>2.5490614138436585</v>
      </c>
      <c r="O11" s="13">
        <f t="shared" si="13"/>
        <v>3.7583014350037565</v>
      </c>
      <c r="AJ11" s="3" t="s">
        <v>32</v>
      </c>
      <c r="AK11" s="22">
        <f>5.6*6.7*0.539</f>
        <v>20.223279999999999</v>
      </c>
      <c r="AL11" s="22">
        <f>6.5*5.2*0.539</f>
        <v>18.218200000000003</v>
      </c>
      <c r="AM11" s="22">
        <f t="shared" si="5"/>
        <v>38.441479999999999</v>
      </c>
      <c r="AN11" s="22">
        <f t="shared" si="6"/>
        <v>19.220739999999999</v>
      </c>
      <c r="AO11" s="44"/>
      <c r="AP11" s="22">
        <f>6*4.8*0.539</f>
        <v>15.523199999999999</v>
      </c>
      <c r="AQ11" s="22">
        <f>3.6*3*0.539</f>
        <v>5.821200000000001</v>
      </c>
      <c r="AR11" s="22">
        <f t="shared" si="7"/>
        <v>21.3444</v>
      </c>
      <c r="AS11" s="22">
        <f t="shared" si="8"/>
        <v>10.6722</v>
      </c>
      <c r="AT11" s="44"/>
      <c r="AU11" s="22">
        <f>8*6.6*0.539</f>
        <v>28.459199999999999</v>
      </c>
      <c r="AV11" s="22">
        <f>6.9*5.4*0.539</f>
        <v>20.083140000000004</v>
      </c>
      <c r="AW11" s="22">
        <f t="shared" si="9"/>
        <v>48.542340000000003</v>
      </c>
      <c r="AX11" s="22">
        <f t="shared" si="10"/>
        <v>24.271170000000001</v>
      </c>
    </row>
    <row r="12" spans="1:50" x14ac:dyDescent="0.25">
      <c r="A12" s="6" t="s">
        <v>38</v>
      </c>
      <c r="B12" s="23">
        <f t="shared" si="0"/>
        <v>18.676349999999999</v>
      </c>
      <c r="C12" s="23">
        <f t="shared" si="1"/>
        <v>7.5136599999999998</v>
      </c>
      <c r="D12" s="23">
        <f t="shared" si="2"/>
        <v>19.754349999999999</v>
      </c>
      <c r="E12" s="10">
        <f t="shared" si="3"/>
        <v>45.944360000000003</v>
      </c>
      <c r="F12" s="10">
        <f t="shared" si="4"/>
        <v>15.314786666666668</v>
      </c>
      <c r="H12" s="8" t="s">
        <v>39</v>
      </c>
      <c r="I12" s="12">
        <f>I13-I7-I8</f>
        <v>22</v>
      </c>
      <c r="J12" s="13">
        <f>J13-J7-J8</f>
        <v>407.76858514347077</v>
      </c>
      <c r="K12" s="13">
        <f t="shared" si="11"/>
        <v>18.53493568833958</v>
      </c>
      <c r="L12" s="13"/>
      <c r="M12" s="8"/>
      <c r="N12" s="8"/>
      <c r="O12" s="8"/>
      <c r="AJ12" s="3" t="s">
        <v>34</v>
      </c>
      <c r="AK12" s="22">
        <f>6.9*5.4*0.539</f>
        <v>20.083140000000004</v>
      </c>
      <c r="AL12" s="22">
        <f>6*3.8*0.539</f>
        <v>12.289199999999999</v>
      </c>
      <c r="AM12" s="22">
        <f t="shared" si="5"/>
        <v>32.372340000000001</v>
      </c>
      <c r="AN12" s="22">
        <f t="shared" si="6"/>
        <v>16.186170000000001</v>
      </c>
      <c r="AO12" s="44"/>
      <c r="AP12" s="22">
        <f>4.4*4.5*0.539</f>
        <v>10.672200000000002</v>
      </c>
      <c r="AQ12" s="22">
        <f>4.9*4*0.539</f>
        <v>10.564400000000001</v>
      </c>
      <c r="AR12" s="22">
        <f t="shared" si="7"/>
        <v>21.236600000000003</v>
      </c>
      <c r="AS12" s="22">
        <f t="shared" si="8"/>
        <v>10.618300000000001</v>
      </c>
      <c r="AT12" s="44"/>
      <c r="AU12" s="22">
        <f>7*4.4*0.539</f>
        <v>16.601200000000002</v>
      </c>
      <c r="AV12" s="22">
        <f>5.5*5.6*0.539</f>
        <v>16.601199999999999</v>
      </c>
      <c r="AW12" s="22">
        <f t="shared" si="9"/>
        <v>33.202399999999997</v>
      </c>
      <c r="AX12" s="22">
        <f t="shared" si="10"/>
        <v>16.601199999999999</v>
      </c>
    </row>
    <row r="13" spans="1:50" x14ac:dyDescent="0.25">
      <c r="A13" s="6" t="s">
        <v>40</v>
      </c>
      <c r="B13" s="23">
        <f t="shared" si="0"/>
        <v>9.6373200000000008</v>
      </c>
      <c r="C13" s="23">
        <f t="shared" si="1"/>
        <v>15.240225000000002</v>
      </c>
      <c r="D13" s="23">
        <f t="shared" si="2"/>
        <v>12.639550000000002</v>
      </c>
      <c r="E13" s="10">
        <f t="shared" si="3"/>
        <v>37.517095000000005</v>
      </c>
      <c r="F13" s="10">
        <f t="shared" si="4"/>
        <v>12.505698333333335</v>
      </c>
      <c r="H13" s="14" t="s">
        <v>41</v>
      </c>
      <c r="I13" s="15">
        <f>4*3*3-1</f>
        <v>35</v>
      </c>
      <c r="J13" s="16">
        <f>SUMSQ(B3:D14)-I4</f>
        <v>717.14860999272605</v>
      </c>
      <c r="K13" s="14"/>
      <c r="L13" s="14"/>
      <c r="M13" s="14"/>
      <c r="N13" s="14"/>
      <c r="O13" s="14"/>
      <c r="AJ13" s="3" t="s">
        <v>36</v>
      </c>
      <c r="AK13" s="22">
        <f>5*4.4*0.539</f>
        <v>11.858000000000001</v>
      </c>
      <c r="AL13" s="22">
        <f>3.7*2.8*0.539</f>
        <v>5.5840399999999999</v>
      </c>
      <c r="AM13" s="22">
        <f t="shared" si="5"/>
        <v>17.442039999999999</v>
      </c>
      <c r="AN13" s="22">
        <f t="shared" si="6"/>
        <v>8.7210199999999993</v>
      </c>
      <c r="AO13" s="44"/>
      <c r="AP13" s="22">
        <f>5.8*3.8*0.539</f>
        <v>11.87956</v>
      </c>
      <c r="AQ13" s="22">
        <f>8*5.6*0.539</f>
        <v>24.147200000000002</v>
      </c>
      <c r="AR13" s="22">
        <f t="shared" si="7"/>
        <v>36.026760000000003</v>
      </c>
      <c r="AS13" s="22">
        <f t="shared" si="8"/>
        <v>18.013380000000002</v>
      </c>
      <c r="AT13" s="44"/>
      <c r="AU13" s="22">
        <f>6.2*5.2*0.539</f>
        <v>17.377360000000003</v>
      </c>
      <c r="AV13" s="22">
        <f>5*4*0.539</f>
        <v>10.780000000000001</v>
      </c>
      <c r="AW13" s="22">
        <f t="shared" si="9"/>
        <v>28.157360000000004</v>
      </c>
      <c r="AX13" s="22">
        <f t="shared" si="10"/>
        <v>14.078680000000002</v>
      </c>
    </row>
    <row r="14" spans="1:50" x14ac:dyDescent="0.25">
      <c r="A14" s="6" t="s">
        <v>42</v>
      </c>
      <c r="B14" s="23">
        <f t="shared" si="0"/>
        <v>19.875624999999999</v>
      </c>
      <c r="C14" s="23">
        <f t="shared" si="1"/>
        <v>19.018615000000004</v>
      </c>
      <c r="D14" s="23">
        <f t="shared" si="2"/>
        <v>18.051109999999998</v>
      </c>
      <c r="E14" s="10">
        <f>SUM(B14:D14)</f>
        <v>56.945350000000005</v>
      </c>
      <c r="F14" s="10">
        <f t="shared" si="4"/>
        <v>18.981783333333336</v>
      </c>
      <c r="AJ14" s="3" t="s">
        <v>38</v>
      </c>
      <c r="AK14" s="22">
        <f>6*4.9*0.539</f>
        <v>15.846600000000002</v>
      </c>
      <c r="AL14" s="22">
        <f>7*5.7*0.539</f>
        <v>21.5061</v>
      </c>
      <c r="AM14" s="22">
        <f t="shared" si="5"/>
        <v>37.352699999999999</v>
      </c>
      <c r="AN14" s="22">
        <f t="shared" si="6"/>
        <v>18.676349999999999</v>
      </c>
      <c r="AO14" s="44"/>
      <c r="AP14" s="22">
        <f>4.2*3.4*0.539</f>
        <v>7.6969200000000004</v>
      </c>
      <c r="AQ14" s="22">
        <f>4*3.4*0.539</f>
        <v>7.3304</v>
      </c>
      <c r="AR14" s="22">
        <f t="shared" si="7"/>
        <v>15.02732</v>
      </c>
      <c r="AS14" s="22">
        <f t="shared" si="8"/>
        <v>7.5136599999999998</v>
      </c>
      <c r="AT14" s="44"/>
      <c r="AU14" s="22">
        <f>5.5*4.6*0.539</f>
        <v>13.636699999999999</v>
      </c>
      <c r="AV14" s="22">
        <f>8*6*0.539</f>
        <v>25.872</v>
      </c>
      <c r="AW14" s="22">
        <f t="shared" si="9"/>
        <v>39.508699999999997</v>
      </c>
      <c r="AX14" s="22">
        <f t="shared" si="10"/>
        <v>19.754349999999999</v>
      </c>
    </row>
    <row r="15" spans="1:50" x14ac:dyDescent="0.25">
      <c r="A15" s="6" t="s">
        <v>41</v>
      </c>
      <c r="B15" s="10">
        <f>SUM(B3:B14)</f>
        <v>179.42232000000001</v>
      </c>
      <c r="C15" s="10">
        <f>SUM(C3:C14)</f>
        <v>190.39636000000004</v>
      </c>
      <c r="D15" s="10">
        <f>SUM(D3:D14)</f>
        <v>211.63026500000001</v>
      </c>
      <c r="E15" s="26">
        <f>SUM(E3:E14)</f>
        <v>581.44894499999998</v>
      </c>
      <c r="F15" s="6"/>
      <c r="AJ15" s="3" t="s">
        <v>40</v>
      </c>
      <c r="AK15" s="22">
        <f>4.1*3.6*0.539</f>
        <v>7.9556400000000007</v>
      </c>
      <c r="AL15" s="22">
        <f>5*4.2*0.539</f>
        <v>11.319000000000001</v>
      </c>
      <c r="AM15" s="22">
        <f t="shared" si="5"/>
        <v>19.274640000000002</v>
      </c>
      <c r="AN15" s="22">
        <f t="shared" si="6"/>
        <v>9.6373200000000008</v>
      </c>
      <c r="AO15" s="44"/>
      <c r="AP15" s="22">
        <f>5.1*4.5*0.539</f>
        <v>12.370050000000001</v>
      </c>
      <c r="AQ15" s="22">
        <f>7*4.8*0.539</f>
        <v>18.110400000000002</v>
      </c>
      <c r="AR15" s="22">
        <f t="shared" si="7"/>
        <v>30.480450000000005</v>
      </c>
      <c r="AS15" s="22">
        <f t="shared" si="8"/>
        <v>15.240225000000002</v>
      </c>
      <c r="AT15" s="44"/>
      <c r="AU15" s="22">
        <f>4*3.6*0.539</f>
        <v>7.7616000000000005</v>
      </c>
      <c r="AV15" s="22">
        <f>6.5*5*0.539</f>
        <v>17.517500000000002</v>
      </c>
      <c r="AW15" s="22">
        <f t="shared" si="9"/>
        <v>25.279100000000003</v>
      </c>
      <c r="AX15" s="22">
        <f t="shared" si="10"/>
        <v>12.639550000000002</v>
      </c>
    </row>
    <row r="16" spans="1:50" x14ac:dyDescent="0.25">
      <c r="AJ16" s="3" t="s">
        <v>42</v>
      </c>
      <c r="AK16" s="22">
        <f>7.5*5.5*0.539</f>
        <v>22.233750000000001</v>
      </c>
      <c r="AL16" s="22">
        <f>6.5*5*0.539</f>
        <v>17.517500000000002</v>
      </c>
      <c r="AM16" s="22">
        <f t="shared" si="5"/>
        <v>39.751249999999999</v>
      </c>
      <c r="AN16" s="22">
        <f t="shared" si="6"/>
        <v>19.875624999999999</v>
      </c>
      <c r="AO16" s="45"/>
      <c r="AP16" s="22">
        <f>6.7*5.1*0.539</f>
        <v>18.417630000000003</v>
      </c>
      <c r="AQ16" s="22">
        <f>6.5*5.6*0.539</f>
        <v>19.619600000000002</v>
      </c>
      <c r="AR16" s="22">
        <f t="shared" si="7"/>
        <v>38.037230000000008</v>
      </c>
      <c r="AS16" s="22">
        <f t="shared" si="8"/>
        <v>19.018615000000004</v>
      </c>
      <c r="AT16" s="45"/>
      <c r="AU16" s="22">
        <f>5.8*4.5*0.539</f>
        <v>14.0679</v>
      </c>
      <c r="AV16" s="22">
        <f>7.3*5.6*0.539</f>
        <v>22.034319999999997</v>
      </c>
      <c r="AW16" s="22">
        <f t="shared" si="9"/>
        <v>36.102219999999996</v>
      </c>
      <c r="AX16" s="22">
        <f t="shared" si="10"/>
        <v>18.051109999999998</v>
      </c>
    </row>
    <row r="17" spans="1:7" x14ac:dyDescent="0.25">
      <c r="A17" s="8" t="s">
        <v>43</v>
      </c>
      <c r="B17" s="8"/>
      <c r="C17" s="8"/>
      <c r="D17" s="8"/>
      <c r="E17" s="8"/>
      <c r="F17" s="8"/>
    </row>
    <row r="18" spans="1:7" x14ac:dyDescent="0.25">
      <c r="A18" s="35" t="s">
        <v>33</v>
      </c>
      <c r="B18" s="39" t="s">
        <v>35</v>
      </c>
      <c r="C18" s="40"/>
      <c r="D18" s="41"/>
      <c r="E18" s="3" t="s">
        <v>5</v>
      </c>
      <c r="F18" s="18" t="s">
        <v>44</v>
      </c>
    </row>
    <row r="19" spans="1:7" x14ac:dyDescent="0.25">
      <c r="A19" s="35"/>
      <c r="B19" s="6" t="s">
        <v>45</v>
      </c>
      <c r="C19" s="6" t="s">
        <v>46</v>
      </c>
      <c r="D19" s="6" t="s">
        <v>47</v>
      </c>
      <c r="E19" s="3"/>
      <c r="F19" s="18"/>
    </row>
    <row r="20" spans="1:7" x14ac:dyDescent="0.25">
      <c r="A20" s="6" t="s">
        <v>48</v>
      </c>
      <c r="B20" s="19">
        <f>E3</f>
        <v>61.130685000000007</v>
      </c>
      <c r="C20" s="19">
        <f>E7</f>
        <v>50.237495000000003</v>
      </c>
      <c r="D20" s="19">
        <f>E11</f>
        <v>40.813079999999999</v>
      </c>
      <c r="E20" s="19">
        <f>SUM(B20:D20)</f>
        <v>152.18126000000001</v>
      </c>
      <c r="F20" s="10">
        <f>E20/9</f>
        <v>16.909028888888891</v>
      </c>
    </row>
    <row r="21" spans="1:7" x14ac:dyDescent="0.25">
      <c r="A21" s="6" t="s">
        <v>49</v>
      </c>
      <c r="B21" s="19">
        <f>E4</f>
        <v>41.699735000000004</v>
      </c>
      <c r="C21" s="19">
        <f>E8</f>
        <v>37.093980000000002</v>
      </c>
      <c r="D21" s="19">
        <f>E12</f>
        <v>45.944360000000003</v>
      </c>
      <c r="E21" s="6">
        <f>SUM(B21:D21)</f>
        <v>124.73807500000001</v>
      </c>
      <c r="F21" s="10">
        <f>E21/9</f>
        <v>13.859786111111113</v>
      </c>
    </row>
    <row r="22" spans="1:7" x14ac:dyDescent="0.25">
      <c r="A22" s="9" t="s">
        <v>50</v>
      </c>
      <c r="B22" s="20">
        <f>E5</f>
        <v>53.123840000000001</v>
      </c>
      <c r="C22" s="20">
        <f>E9</f>
        <v>54.164110000000001</v>
      </c>
      <c r="D22" s="20">
        <f>E13</f>
        <v>37.517095000000005</v>
      </c>
      <c r="E22" s="19">
        <f>SUM(B22:D22)</f>
        <v>144.80504500000001</v>
      </c>
      <c r="F22" s="10">
        <f t="shared" ref="F22:F23" si="15">E22/9</f>
        <v>16.089449444444444</v>
      </c>
    </row>
    <row r="23" spans="1:7" x14ac:dyDescent="0.25">
      <c r="A23" s="9" t="s">
        <v>51</v>
      </c>
      <c r="B23" s="20">
        <f>E6</f>
        <v>59.373545000000007</v>
      </c>
      <c r="C23" s="20">
        <f>E10</f>
        <v>43.405670000000001</v>
      </c>
      <c r="D23" s="20">
        <f>E14</f>
        <v>56.945350000000005</v>
      </c>
      <c r="E23" s="6">
        <f t="shared" ref="E23" si="16">SUM(B23:D23)</f>
        <v>159.72456500000001</v>
      </c>
      <c r="F23" s="10">
        <f t="shared" si="15"/>
        <v>17.747173888888891</v>
      </c>
    </row>
    <row r="24" spans="1:7" x14ac:dyDescent="0.25">
      <c r="A24" s="6" t="s">
        <v>5</v>
      </c>
      <c r="B24" s="19">
        <f>SUM(B20:B23)</f>
        <v>215.32780500000001</v>
      </c>
      <c r="C24" s="19">
        <f>SUM(C20:C23)</f>
        <v>184.90125499999999</v>
      </c>
      <c r="D24" s="19">
        <f>SUM(D20:D23)</f>
        <v>181.21988500000003</v>
      </c>
      <c r="E24" s="10">
        <f>SUM(B24:D24)</f>
        <v>581.44894500000009</v>
      </c>
      <c r="F24" s="6"/>
    </row>
    <row r="25" spans="1:7" x14ac:dyDescent="0.25">
      <c r="A25" s="6" t="s">
        <v>44</v>
      </c>
      <c r="B25" s="10">
        <f>B24/12</f>
        <v>17.943983750000001</v>
      </c>
      <c r="C25" s="10">
        <f t="shared" ref="C25:D25" si="17">C24/12</f>
        <v>15.408437916666665</v>
      </c>
      <c r="D25" s="10">
        <f t="shared" si="17"/>
        <v>15.101657083333336</v>
      </c>
      <c r="E25" s="6"/>
      <c r="F25" s="6"/>
      <c r="G25" s="8"/>
    </row>
  </sheetData>
  <mergeCells count="18">
    <mergeCell ref="A1:A2"/>
    <mergeCell ref="B1:D1"/>
    <mergeCell ref="E1:E2"/>
    <mergeCell ref="F1:F2"/>
    <mergeCell ref="A18:A19"/>
    <mergeCell ref="B18:D18"/>
    <mergeCell ref="AX3:AX4"/>
    <mergeCell ref="AJ3:AJ4"/>
    <mergeCell ref="AK3:AL3"/>
    <mergeCell ref="AM3:AM4"/>
    <mergeCell ref="AN3:AN4"/>
    <mergeCell ref="AO3:AO16"/>
    <mergeCell ref="AP3:AQ3"/>
    <mergeCell ref="AR3:AR4"/>
    <mergeCell ref="AS3:AS4"/>
    <mergeCell ref="AT3:AT16"/>
    <mergeCell ref="AU3:AV3"/>
    <mergeCell ref="AW3:AW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X25"/>
  <sheetViews>
    <sheetView topLeftCell="F1" workbookViewId="0">
      <selection activeCell="B3" sqref="B3"/>
    </sheetView>
  </sheetViews>
  <sheetFormatPr defaultColWidth="8.88671875" defaultRowHeight="13.8" x14ac:dyDescent="0.25"/>
  <cols>
    <col min="1" max="1" width="10.6640625" style="1" bestFit="1" customWidth="1"/>
    <col min="2" max="6" width="8.88671875" style="1"/>
    <col min="7" max="7" width="3.33203125" style="1" customWidth="1"/>
    <col min="8" max="12" width="8.88671875" style="1"/>
    <col min="13" max="13" width="2.5546875" style="1" bestFit="1" customWidth="1"/>
    <col min="14" max="15" width="8.88671875" style="1"/>
    <col min="16" max="16" width="2.5546875" style="1" customWidth="1"/>
    <col min="17" max="17" width="9.88671875" style="1" customWidth="1"/>
    <col min="18" max="19" width="10.5546875" style="1" bestFit="1" customWidth="1"/>
    <col min="20" max="21" width="8.88671875" style="1"/>
    <col min="22" max="22" width="3.33203125" style="1" customWidth="1"/>
    <col min="23" max="24" width="10.5546875" style="1" bestFit="1" customWidth="1"/>
    <col min="25" max="26" width="8.88671875" style="1"/>
    <col min="27" max="27" width="3" style="1" customWidth="1"/>
    <col min="28" max="29" width="10.5546875" style="1" bestFit="1" customWidth="1"/>
    <col min="30" max="16384" width="8.88671875" style="1"/>
  </cols>
  <sheetData>
    <row r="1" spans="1:50" x14ac:dyDescent="0.25">
      <c r="A1" s="35" t="s">
        <v>3</v>
      </c>
      <c r="B1" s="36" t="s">
        <v>15</v>
      </c>
      <c r="C1" s="36"/>
      <c r="D1" s="36"/>
      <c r="E1" s="37" t="s">
        <v>5</v>
      </c>
      <c r="F1" s="37" t="s">
        <v>16</v>
      </c>
      <c r="H1" s="1" t="s">
        <v>0</v>
      </c>
      <c r="I1" s="1">
        <v>4</v>
      </c>
    </row>
    <row r="2" spans="1:50" x14ac:dyDescent="0.25">
      <c r="A2" s="35"/>
      <c r="B2" s="6" t="s">
        <v>18</v>
      </c>
      <c r="C2" s="6" t="s">
        <v>19</v>
      </c>
      <c r="D2" s="6" t="s">
        <v>20</v>
      </c>
      <c r="E2" s="38"/>
      <c r="F2" s="38"/>
      <c r="H2" s="1" t="s">
        <v>1</v>
      </c>
      <c r="I2" s="1">
        <v>3</v>
      </c>
      <c r="AJ2" s="2" t="s">
        <v>53</v>
      </c>
    </row>
    <row r="3" spans="1:50" x14ac:dyDescent="0.25">
      <c r="A3" s="6" t="s">
        <v>13</v>
      </c>
      <c r="B3" s="23">
        <f t="shared" ref="B3:B14" si="0">AN5</f>
        <v>41.476050000000001</v>
      </c>
      <c r="C3" s="23">
        <f t="shared" ref="C3:C14" si="1">AS5</f>
        <v>37.255679999999998</v>
      </c>
      <c r="D3" s="23">
        <f t="shared" ref="D3:D14" si="2">AX5</f>
        <v>17.097080000000002</v>
      </c>
      <c r="E3" s="10">
        <f>SUM(B3:D3)</f>
        <v>95.828810000000004</v>
      </c>
      <c r="F3" s="10">
        <f>AVERAGE(B3:D3)</f>
        <v>31.942936666666668</v>
      </c>
      <c r="H3" s="1" t="s">
        <v>2</v>
      </c>
      <c r="I3" s="1">
        <v>3</v>
      </c>
      <c r="AJ3" s="35" t="s">
        <v>3</v>
      </c>
      <c r="AK3" s="42" t="s">
        <v>4</v>
      </c>
      <c r="AL3" s="42"/>
      <c r="AM3" s="42" t="s">
        <v>5</v>
      </c>
      <c r="AN3" s="42" t="s">
        <v>6</v>
      </c>
      <c r="AO3" s="43"/>
      <c r="AP3" s="42" t="s">
        <v>7</v>
      </c>
      <c r="AQ3" s="42"/>
      <c r="AR3" s="42" t="s">
        <v>5</v>
      </c>
      <c r="AS3" s="42" t="s">
        <v>6</v>
      </c>
      <c r="AT3" s="43"/>
      <c r="AU3" s="42" t="s">
        <v>8</v>
      </c>
      <c r="AV3" s="42"/>
      <c r="AW3" s="42" t="s">
        <v>9</v>
      </c>
      <c r="AX3" s="42" t="s">
        <v>6</v>
      </c>
    </row>
    <row r="4" spans="1:50" x14ac:dyDescent="0.25">
      <c r="A4" s="6" t="s">
        <v>14</v>
      </c>
      <c r="B4" s="23">
        <f t="shared" si="0"/>
        <v>11.192335</v>
      </c>
      <c r="C4" s="23">
        <f t="shared" si="1"/>
        <v>31.787525000000002</v>
      </c>
      <c r="D4" s="23">
        <f t="shared" si="2"/>
        <v>35.843499999999999</v>
      </c>
      <c r="E4" s="10">
        <f t="shared" ref="E4:E13" si="3">SUM(B4:D4)</f>
        <v>78.823360000000008</v>
      </c>
      <c r="F4" s="10">
        <f t="shared" ref="F4:F14" si="4">AVERAGE(B4:D4)</f>
        <v>26.274453333333337</v>
      </c>
      <c r="H4" s="1" t="s">
        <v>10</v>
      </c>
      <c r="I4" s="5">
        <f>E15^2/36</f>
        <v>30527.076361600044</v>
      </c>
      <c r="AJ4" s="35"/>
      <c r="AK4" s="4" t="s">
        <v>11</v>
      </c>
      <c r="AL4" s="4" t="s">
        <v>12</v>
      </c>
      <c r="AM4" s="42"/>
      <c r="AN4" s="42"/>
      <c r="AO4" s="44"/>
      <c r="AP4" s="4" t="s">
        <v>11</v>
      </c>
      <c r="AQ4" s="4" t="s">
        <v>12</v>
      </c>
      <c r="AR4" s="42"/>
      <c r="AS4" s="42"/>
      <c r="AT4" s="44"/>
      <c r="AU4" s="4" t="s">
        <v>11</v>
      </c>
      <c r="AV4" s="4" t="s">
        <v>12</v>
      </c>
      <c r="AW4" s="42"/>
      <c r="AX4" s="42"/>
    </row>
    <row r="5" spans="1:50" x14ac:dyDescent="0.25">
      <c r="A5" s="6" t="s">
        <v>17</v>
      </c>
      <c r="B5" s="23">
        <f t="shared" si="0"/>
        <v>29.348550000000003</v>
      </c>
      <c r="C5" s="23">
        <f t="shared" si="1"/>
        <v>34.161819999999999</v>
      </c>
      <c r="D5" s="23">
        <f t="shared" si="2"/>
        <v>31.615044999999999</v>
      </c>
      <c r="E5" s="10">
        <f t="shared" si="3"/>
        <v>95.125415000000004</v>
      </c>
      <c r="F5" s="10">
        <f t="shared" si="4"/>
        <v>31.708471666666668</v>
      </c>
      <c r="H5" s="7" t="s">
        <v>56</v>
      </c>
      <c r="I5" s="8"/>
      <c r="J5" s="8"/>
      <c r="K5" s="8"/>
      <c r="L5" s="8"/>
      <c r="M5" s="8"/>
      <c r="N5" s="8"/>
      <c r="O5" s="8"/>
      <c r="AJ5" s="3" t="s">
        <v>13</v>
      </c>
      <c r="AK5" s="22">
        <f>9.5*8.1*0.539</f>
        <v>41.476050000000001</v>
      </c>
      <c r="AL5" s="22"/>
      <c r="AM5" s="22">
        <f>SUM(AK5:AL5)</f>
        <v>41.476050000000001</v>
      </c>
      <c r="AN5" s="22">
        <f>AVERAGE(AK5:AL5)</f>
        <v>41.476050000000001</v>
      </c>
      <c r="AO5" s="44"/>
      <c r="AP5" s="22">
        <f>8.7*7.7*0.539</f>
        <v>36.107610000000001</v>
      </c>
      <c r="AQ5" s="22">
        <f>9.5*7.5*0.539</f>
        <v>38.403750000000002</v>
      </c>
      <c r="AR5" s="22">
        <f>SUM(AP5:AQ5)</f>
        <v>74.511359999999996</v>
      </c>
      <c r="AS5" s="22">
        <f>AVERAGE(AP5:AQ5)</f>
        <v>37.255679999999998</v>
      </c>
      <c r="AT5" s="44"/>
      <c r="AU5" s="22"/>
      <c r="AV5" s="22">
        <f>6.1*5.2*0.539</f>
        <v>17.097080000000002</v>
      </c>
      <c r="AW5" s="22">
        <f>SUM(AU5:AV5)</f>
        <v>17.097080000000002</v>
      </c>
      <c r="AX5" s="22">
        <f>AVERAGE(AU5:AV5)</f>
        <v>17.097080000000002</v>
      </c>
    </row>
    <row r="6" spans="1:50" x14ac:dyDescent="0.25">
      <c r="A6" s="6" t="s">
        <v>21</v>
      </c>
      <c r="B6" s="23">
        <f t="shared" si="0"/>
        <v>27.036239999999999</v>
      </c>
      <c r="C6" s="23">
        <f t="shared" si="1"/>
        <v>55.104664999999997</v>
      </c>
      <c r="D6" s="23">
        <f t="shared" si="2"/>
        <v>26.626600000000003</v>
      </c>
      <c r="E6" s="10">
        <f t="shared" si="3"/>
        <v>108.767505</v>
      </c>
      <c r="F6" s="10">
        <f t="shared" si="4"/>
        <v>36.255834999999998</v>
      </c>
      <c r="H6" s="11" t="s">
        <v>22</v>
      </c>
      <c r="I6" s="11" t="s">
        <v>23</v>
      </c>
      <c r="J6" s="11" t="s">
        <v>24</v>
      </c>
      <c r="K6" s="11" t="s">
        <v>25</v>
      </c>
      <c r="L6" s="11" t="s">
        <v>26</v>
      </c>
      <c r="M6" s="11"/>
      <c r="N6" s="11" t="s">
        <v>27</v>
      </c>
      <c r="O6" s="11" t="s">
        <v>28</v>
      </c>
      <c r="AJ6" s="3" t="s">
        <v>14</v>
      </c>
      <c r="AK6" s="22">
        <f>5.1*4.3*0.539</f>
        <v>11.820269999999999</v>
      </c>
      <c r="AL6" s="22">
        <f>5.6*3.5*0.539</f>
        <v>10.564399999999999</v>
      </c>
      <c r="AM6" s="22">
        <f t="shared" ref="AM6:AM16" si="5">SUM(AK6:AL6)</f>
        <v>22.38467</v>
      </c>
      <c r="AN6" s="22">
        <f t="shared" ref="AN6:AN16" si="6">AVERAGE(AK6:AL6)</f>
        <v>11.192335</v>
      </c>
      <c r="AO6" s="44"/>
      <c r="AP6" s="22">
        <f>9.5*6.6*0.539</f>
        <v>33.795299999999997</v>
      </c>
      <c r="AQ6" s="22">
        <f>8.5*6.5*0.539</f>
        <v>29.779750000000003</v>
      </c>
      <c r="AR6" s="22">
        <f t="shared" ref="AR6:AR16" si="7">SUM(AP6:AQ6)</f>
        <v>63.575050000000005</v>
      </c>
      <c r="AS6" s="22">
        <f t="shared" ref="AS6:AS16" si="8">AVERAGE(AP6:AQ6)</f>
        <v>31.787525000000002</v>
      </c>
      <c r="AT6" s="44"/>
      <c r="AU6" s="22"/>
      <c r="AV6" s="22">
        <f>9.5*7*0.539</f>
        <v>35.843499999999999</v>
      </c>
      <c r="AW6" s="22">
        <f t="shared" ref="AW6:AW16" si="9">SUM(AU6:AV6)</f>
        <v>35.843499999999999</v>
      </c>
      <c r="AX6" s="22">
        <f t="shared" ref="AX6:AX16" si="10">AVERAGE(AU6:AV6)</f>
        <v>35.843499999999999</v>
      </c>
    </row>
    <row r="7" spans="1:50" ht="14.4" x14ac:dyDescent="0.3">
      <c r="A7" s="6" t="s">
        <v>29</v>
      </c>
      <c r="B7" s="23">
        <f t="shared" si="0"/>
        <v>27.488999999999997</v>
      </c>
      <c r="C7" s="23">
        <f t="shared" si="1"/>
        <v>28.297500000000003</v>
      </c>
      <c r="D7" s="23">
        <f t="shared" si="2"/>
        <v>32.620280000000001</v>
      </c>
      <c r="E7" s="10">
        <f t="shared" si="3"/>
        <v>88.406779999999998</v>
      </c>
      <c r="F7" s="10">
        <f t="shared" si="4"/>
        <v>29.468926666666665</v>
      </c>
      <c r="H7" s="8" t="s">
        <v>30</v>
      </c>
      <c r="I7" s="12">
        <v>2</v>
      </c>
      <c r="J7" s="13">
        <f>SUMSQ(B15:D15)/12-I4</f>
        <v>94.62809621510678</v>
      </c>
      <c r="K7" s="13">
        <f>J7/I7</f>
        <v>47.31404810755339</v>
      </c>
      <c r="L7" s="13">
        <f>K7/K$12</f>
        <v>0.46932993613032281</v>
      </c>
      <c r="M7" t="str">
        <f>IF(L7&lt;N7,"tn",IF(L7&lt;O7,"*","**"))</f>
        <v>tn</v>
      </c>
      <c r="N7" s="13">
        <f>FINV(0.05,I7,I$12)</f>
        <v>3.4433567793667246</v>
      </c>
      <c r="O7" s="13">
        <f>FINV(0.01,I7,I$12)</f>
        <v>5.7190219124822725</v>
      </c>
      <c r="AJ7" s="3" t="s">
        <v>17</v>
      </c>
      <c r="AK7" s="22">
        <f>9*6.7*0.539</f>
        <v>32.501700000000007</v>
      </c>
      <c r="AL7" s="22">
        <f>8.1*6*0.539</f>
        <v>26.195399999999999</v>
      </c>
      <c r="AM7" s="22">
        <f t="shared" si="5"/>
        <v>58.697100000000006</v>
      </c>
      <c r="AN7" s="22">
        <f t="shared" si="6"/>
        <v>29.348550000000003</v>
      </c>
      <c r="AO7" s="44"/>
      <c r="AP7" s="22">
        <f>7.7*5.6*0.539</f>
        <v>23.241679999999999</v>
      </c>
      <c r="AQ7" s="22">
        <f>10.2*8.2*0.539</f>
        <v>45.081959999999995</v>
      </c>
      <c r="AR7" s="22">
        <f t="shared" si="7"/>
        <v>68.323639999999997</v>
      </c>
      <c r="AS7" s="22">
        <f t="shared" si="8"/>
        <v>34.161819999999999</v>
      </c>
      <c r="AT7" s="44"/>
      <c r="AU7" s="22">
        <f>7.1*5*0.539</f>
        <v>19.134500000000003</v>
      </c>
      <c r="AV7" s="22">
        <f>10.1*8.1*0.539</f>
        <v>44.095589999999994</v>
      </c>
      <c r="AW7" s="22">
        <f t="shared" si="9"/>
        <v>63.230089999999997</v>
      </c>
      <c r="AX7" s="22">
        <f t="shared" si="10"/>
        <v>31.615044999999999</v>
      </c>
    </row>
    <row r="8" spans="1:50" ht="14.4" x14ac:dyDescent="0.3">
      <c r="A8" s="6" t="s">
        <v>31</v>
      </c>
      <c r="B8" s="23">
        <f t="shared" si="0"/>
        <v>21.25816</v>
      </c>
      <c r="C8" s="23">
        <f t="shared" si="1"/>
        <v>36.199240000000003</v>
      </c>
      <c r="D8" s="23">
        <f t="shared" si="2"/>
        <v>28.143884999999997</v>
      </c>
      <c r="E8" s="10">
        <f t="shared" si="3"/>
        <v>85.601285000000004</v>
      </c>
      <c r="F8" s="10">
        <f t="shared" si="4"/>
        <v>28.533761666666667</v>
      </c>
      <c r="H8" s="8" t="s">
        <v>3</v>
      </c>
      <c r="I8" s="12">
        <f>I1*I2-1</f>
        <v>11</v>
      </c>
      <c r="J8" s="13">
        <f>SUMSQ(E3:E14)/3-I4</f>
        <v>623.88397200524923</v>
      </c>
      <c r="K8" s="13">
        <f t="shared" ref="K8:K12" si="11">J8/I8</f>
        <v>56.716724727749927</v>
      </c>
      <c r="L8" s="13">
        <f>K8/K$12</f>
        <v>0.56259943629187037</v>
      </c>
      <c r="M8" t="str">
        <f>IF(L8&lt;N8,"tn",IF(L8&lt;O8,"*","**"))</f>
        <v>tn</v>
      </c>
      <c r="N8" s="13">
        <f t="shared" ref="N8:N11" si="12">FINV(0.05,I8,I$12)</f>
        <v>2.2585183566229916</v>
      </c>
      <c r="O8" s="13">
        <f t="shared" ref="O8:O11" si="13">FINV(0.01,I8,I$12)</f>
        <v>3.1837421959607717</v>
      </c>
      <c r="AJ8" s="3" t="s">
        <v>21</v>
      </c>
      <c r="AK8" s="22">
        <f>9.5*6.6*0.539</f>
        <v>33.795299999999997</v>
      </c>
      <c r="AL8" s="22">
        <f>6.6*5.7*0.539</f>
        <v>20.277180000000001</v>
      </c>
      <c r="AM8" s="22">
        <f t="shared" si="5"/>
        <v>54.072479999999999</v>
      </c>
      <c r="AN8" s="22">
        <f t="shared" si="6"/>
        <v>27.036239999999999</v>
      </c>
      <c r="AO8" s="44"/>
      <c r="AP8" s="22">
        <f>11.5*8.5*0.539</f>
        <v>52.687250000000006</v>
      </c>
      <c r="AQ8" s="22">
        <f>11.6*9.2*0.539</f>
        <v>57.522079999999995</v>
      </c>
      <c r="AR8" s="22">
        <f t="shared" si="7"/>
        <v>110.20932999999999</v>
      </c>
      <c r="AS8" s="22">
        <f t="shared" si="8"/>
        <v>55.104664999999997</v>
      </c>
      <c r="AT8" s="44"/>
      <c r="AU8" s="22">
        <f>9.8*8*0.539</f>
        <v>42.257600000000004</v>
      </c>
      <c r="AV8" s="22">
        <f>5.1*4*0.539</f>
        <v>10.9956</v>
      </c>
      <c r="AW8" s="22">
        <f t="shared" si="9"/>
        <v>53.253200000000007</v>
      </c>
      <c r="AX8" s="22">
        <f t="shared" si="10"/>
        <v>26.626600000000003</v>
      </c>
    </row>
    <row r="9" spans="1:50" ht="14.4" x14ac:dyDescent="0.3">
      <c r="A9" s="6" t="s">
        <v>32</v>
      </c>
      <c r="B9" s="23">
        <f t="shared" si="0"/>
        <v>35.600950000000005</v>
      </c>
      <c r="C9" s="23">
        <f t="shared" si="1"/>
        <v>22.088220000000003</v>
      </c>
      <c r="D9" s="23">
        <f t="shared" si="2"/>
        <v>47.429304999999999</v>
      </c>
      <c r="E9" s="10">
        <f t="shared" si="3"/>
        <v>105.118475</v>
      </c>
      <c r="F9" s="10">
        <f t="shared" si="4"/>
        <v>35.03949166666667</v>
      </c>
      <c r="H9" s="8" t="s">
        <v>33</v>
      </c>
      <c r="I9" s="12">
        <f>I1-1</f>
        <v>3</v>
      </c>
      <c r="J9" s="13">
        <f>SUMSQ(E20:E23)/9-I4</f>
        <v>53.933561829519022</v>
      </c>
      <c r="K9" s="13">
        <f t="shared" si="11"/>
        <v>17.977853943173006</v>
      </c>
      <c r="L9" s="13">
        <f t="shared" ref="L9:L11" si="14">K9/K$12</f>
        <v>0.178330651897077</v>
      </c>
      <c r="M9" t="str">
        <f>IF(L9&lt;N9,"tn",IF(L9&lt;O9,"*","**"))</f>
        <v>tn</v>
      </c>
      <c r="N9" s="13">
        <f t="shared" si="12"/>
        <v>3.0491249886524128</v>
      </c>
      <c r="O9" s="13">
        <f t="shared" si="13"/>
        <v>4.8166057778160596</v>
      </c>
      <c r="AJ9" s="3" t="s">
        <v>29</v>
      </c>
      <c r="AK9" s="22">
        <f>8*6.8*0.539</f>
        <v>29.3216</v>
      </c>
      <c r="AL9" s="22">
        <f>8.5*5.6*0.539</f>
        <v>25.656399999999998</v>
      </c>
      <c r="AM9" s="22">
        <f t="shared" si="5"/>
        <v>54.977999999999994</v>
      </c>
      <c r="AN9" s="22">
        <f t="shared" si="6"/>
        <v>27.488999999999997</v>
      </c>
      <c r="AO9" s="44"/>
      <c r="AP9" s="22"/>
      <c r="AQ9" s="22">
        <f>7.5*7*0.539</f>
        <v>28.297500000000003</v>
      </c>
      <c r="AR9" s="22">
        <f t="shared" si="7"/>
        <v>28.297500000000003</v>
      </c>
      <c r="AS9" s="22">
        <f t="shared" si="8"/>
        <v>28.297500000000003</v>
      </c>
      <c r="AT9" s="44"/>
      <c r="AU9" s="22"/>
      <c r="AV9" s="22">
        <f>8.9*6.8*0.539</f>
        <v>32.620280000000001</v>
      </c>
      <c r="AW9" s="22">
        <f t="shared" si="9"/>
        <v>32.620280000000001</v>
      </c>
      <c r="AX9" s="22">
        <f t="shared" si="10"/>
        <v>32.620280000000001</v>
      </c>
    </row>
    <row r="10" spans="1:50" ht="14.4" x14ac:dyDescent="0.3">
      <c r="A10" s="6" t="s">
        <v>34</v>
      </c>
      <c r="B10" s="23">
        <f t="shared" si="0"/>
        <v>23.457280000000001</v>
      </c>
      <c r="C10" s="23">
        <f t="shared" si="1"/>
        <v>16.528435000000002</v>
      </c>
      <c r="D10" s="23">
        <f t="shared" si="2"/>
        <v>25.845050000000001</v>
      </c>
      <c r="E10" s="10">
        <f t="shared" si="3"/>
        <v>65.830765</v>
      </c>
      <c r="F10" s="10">
        <f t="shared" si="4"/>
        <v>21.943588333333334</v>
      </c>
      <c r="H10" s="8" t="s">
        <v>35</v>
      </c>
      <c r="I10" s="12">
        <f>I2-1</f>
        <v>2</v>
      </c>
      <c r="J10" s="13">
        <f>SUMSQ(B24:D24)/12-I4</f>
        <v>122.78873978962656</v>
      </c>
      <c r="K10" s="13">
        <f t="shared" si="11"/>
        <v>61.394369894813281</v>
      </c>
      <c r="L10" s="13">
        <f t="shared" si="14"/>
        <v>0.60899916312369229</v>
      </c>
      <c r="M10" t="str">
        <f>IF(L10&lt;N10,"tn",IF(L10&lt;O10,"*","**"))</f>
        <v>tn</v>
      </c>
      <c r="N10" s="13">
        <f t="shared" si="12"/>
        <v>3.4433567793667246</v>
      </c>
      <c r="O10" s="13">
        <f t="shared" si="13"/>
        <v>5.7190219124822725</v>
      </c>
      <c r="AJ10" s="3" t="s">
        <v>31</v>
      </c>
      <c r="AK10" s="22"/>
      <c r="AL10" s="22">
        <f>6.8*5.8*0.539</f>
        <v>21.25816</v>
      </c>
      <c r="AM10" s="22">
        <f t="shared" si="5"/>
        <v>21.25816</v>
      </c>
      <c r="AN10" s="22">
        <f t="shared" si="6"/>
        <v>21.25816</v>
      </c>
      <c r="AO10" s="44"/>
      <c r="AP10" s="22"/>
      <c r="AQ10" s="22">
        <f>9.2*7.3*0.539</f>
        <v>36.199240000000003</v>
      </c>
      <c r="AR10" s="22">
        <f t="shared" si="7"/>
        <v>36.199240000000003</v>
      </c>
      <c r="AS10" s="22">
        <f t="shared" si="8"/>
        <v>36.199240000000003</v>
      </c>
      <c r="AT10" s="44"/>
      <c r="AU10" s="22">
        <f>7.6*6.6*0.539</f>
        <v>27.036239999999999</v>
      </c>
      <c r="AV10" s="22">
        <f>8.1*6.7*0.539</f>
        <v>29.251529999999999</v>
      </c>
      <c r="AW10" s="22">
        <f t="shared" si="9"/>
        <v>56.287769999999995</v>
      </c>
      <c r="AX10" s="22">
        <f t="shared" si="10"/>
        <v>28.143884999999997</v>
      </c>
    </row>
    <row r="11" spans="1:50" ht="14.4" x14ac:dyDescent="0.3">
      <c r="A11" s="6" t="s">
        <v>36</v>
      </c>
      <c r="B11" s="23">
        <f t="shared" si="0"/>
        <v>18.670960000000001</v>
      </c>
      <c r="C11" s="23">
        <f t="shared" si="1"/>
        <v>35.859670000000001</v>
      </c>
      <c r="D11" s="23">
        <f t="shared" si="2"/>
        <v>20.697600000000001</v>
      </c>
      <c r="E11" s="10">
        <f t="shared" si="3"/>
        <v>75.228229999999996</v>
      </c>
      <c r="F11" s="10">
        <f t="shared" si="4"/>
        <v>25.076076666666665</v>
      </c>
      <c r="H11" s="8" t="s">
        <v>37</v>
      </c>
      <c r="I11" s="12">
        <f>I9*I10</f>
        <v>6</v>
      </c>
      <c r="J11" s="13">
        <f>J8-J9-J10</f>
        <v>447.16167038610365</v>
      </c>
      <c r="K11" s="13">
        <f t="shared" si="11"/>
        <v>74.526945064350613</v>
      </c>
      <c r="L11" s="13">
        <f t="shared" si="14"/>
        <v>0.7392672528786598</v>
      </c>
      <c r="M11" t="str">
        <f>IF(L11&lt;N11,"tn",IF(L11&lt;O11,"*","**"))</f>
        <v>tn</v>
      </c>
      <c r="N11" s="13">
        <f t="shared" si="12"/>
        <v>2.5490614138436585</v>
      </c>
      <c r="O11" s="13">
        <f t="shared" si="13"/>
        <v>3.7583014350037565</v>
      </c>
      <c r="AJ11" s="3" t="s">
        <v>32</v>
      </c>
      <c r="AK11" s="22">
        <f>10*7.6*0.539</f>
        <v>40.964000000000006</v>
      </c>
      <c r="AL11" s="22">
        <f>8.5*6.6*0.539</f>
        <v>30.2379</v>
      </c>
      <c r="AM11" s="22">
        <f t="shared" si="5"/>
        <v>71.201900000000009</v>
      </c>
      <c r="AN11" s="22">
        <f t="shared" si="6"/>
        <v>35.600950000000005</v>
      </c>
      <c r="AO11" s="44"/>
      <c r="AP11" s="22">
        <f>8.3*6.8*0.539</f>
        <v>30.421160000000004</v>
      </c>
      <c r="AQ11" s="22">
        <f>5.8*4.4*0.539</f>
        <v>13.755280000000001</v>
      </c>
      <c r="AR11" s="22">
        <f t="shared" si="7"/>
        <v>44.176440000000007</v>
      </c>
      <c r="AS11" s="22">
        <f t="shared" si="8"/>
        <v>22.088220000000003</v>
      </c>
      <c r="AT11" s="44"/>
      <c r="AU11" s="22">
        <f>9.2*7.1*0.539</f>
        <v>35.207479999999997</v>
      </c>
      <c r="AV11" s="22">
        <f>11.9*9.3*0.539</f>
        <v>59.651130000000009</v>
      </c>
      <c r="AW11" s="22">
        <f t="shared" si="9"/>
        <v>94.858609999999999</v>
      </c>
      <c r="AX11" s="22">
        <f t="shared" si="10"/>
        <v>47.429304999999999</v>
      </c>
    </row>
    <row r="12" spans="1:50" x14ac:dyDescent="0.25">
      <c r="A12" s="6" t="s">
        <v>38</v>
      </c>
      <c r="B12" s="23">
        <f t="shared" si="0"/>
        <v>37.549435000000003</v>
      </c>
      <c r="C12" s="23">
        <f t="shared" si="1"/>
        <v>19.26925</v>
      </c>
      <c r="D12" s="23">
        <f t="shared" si="2"/>
        <v>24.101385000000001</v>
      </c>
      <c r="E12" s="10">
        <f t="shared" si="3"/>
        <v>80.92007000000001</v>
      </c>
      <c r="F12" s="10">
        <f t="shared" si="4"/>
        <v>26.973356666666671</v>
      </c>
      <c r="H12" s="8" t="s">
        <v>39</v>
      </c>
      <c r="I12" s="12">
        <f>I13-I7-I8</f>
        <v>22</v>
      </c>
      <c r="J12" s="13">
        <f>J13-J7-J8</f>
        <v>2217.8620587226651</v>
      </c>
      <c r="K12" s="13">
        <f t="shared" si="11"/>
        <v>100.81191176012113</v>
      </c>
      <c r="L12" s="13"/>
      <c r="M12" s="8"/>
      <c r="N12" s="8"/>
      <c r="O12" s="8"/>
      <c r="AJ12" s="3" t="s">
        <v>34</v>
      </c>
      <c r="AK12" s="22">
        <f>6.8*5.3*0.539</f>
        <v>19.425560000000001</v>
      </c>
      <c r="AL12" s="22">
        <f>8.5*6*0.539</f>
        <v>27.489000000000001</v>
      </c>
      <c r="AM12" s="22">
        <f t="shared" si="5"/>
        <v>46.914560000000002</v>
      </c>
      <c r="AN12" s="22">
        <f t="shared" si="6"/>
        <v>23.457280000000001</v>
      </c>
      <c r="AO12" s="44"/>
      <c r="AP12" s="22">
        <f>5.8*5*0.539</f>
        <v>15.631</v>
      </c>
      <c r="AQ12" s="22">
        <f>6.1*5.3*0.539</f>
        <v>17.42587</v>
      </c>
      <c r="AR12" s="22">
        <f t="shared" si="7"/>
        <v>33.056870000000004</v>
      </c>
      <c r="AS12" s="22">
        <f t="shared" si="8"/>
        <v>16.528435000000002</v>
      </c>
      <c r="AT12" s="44"/>
      <c r="AU12" s="22">
        <f>6.5*5.6*0.539</f>
        <v>19.619600000000002</v>
      </c>
      <c r="AV12" s="22">
        <f>8.5*7*0.539</f>
        <v>32.070500000000003</v>
      </c>
      <c r="AW12" s="22">
        <f t="shared" si="9"/>
        <v>51.690100000000001</v>
      </c>
      <c r="AX12" s="22">
        <f t="shared" si="10"/>
        <v>25.845050000000001</v>
      </c>
    </row>
    <row r="13" spans="1:50" x14ac:dyDescent="0.25">
      <c r="A13" s="6" t="s">
        <v>40</v>
      </c>
      <c r="B13" s="23">
        <f t="shared" si="0"/>
        <v>20.945540000000001</v>
      </c>
      <c r="C13" s="23">
        <f t="shared" si="1"/>
        <v>28.001049999999999</v>
      </c>
      <c r="D13" s="23">
        <f t="shared" si="2"/>
        <v>24.936835000000002</v>
      </c>
      <c r="E13" s="10">
        <f t="shared" si="3"/>
        <v>73.883425000000003</v>
      </c>
      <c r="F13" s="10">
        <f t="shared" si="4"/>
        <v>24.627808333333334</v>
      </c>
      <c r="H13" s="14" t="s">
        <v>41</v>
      </c>
      <c r="I13" s="15">
        <f>4*3*3-1</f>
        <v>35</v>
      </c>
      <c r="J13" s="16">
        <f>SUMSQ(B3:D14)-I4</f>
        <v>2936.3741269430211</v>
      </c>
      <c r="K13" s="14"/>
      <c r="L13" s="14"/>
      <c r="M13" s="14"/>
      <c r="N13" s="14"/>
      <c r="O13" s="14"/>
      <c r="AJ13" s="3" t="s">
        <v>36</v>
      </c>
      <c r="AK13" s="22">
        <f>7.2*6.2*0.539</f>
        <v>24.060960000000001</v>
      </c>
      <c r="AL13" s="22">
        <f>5.6*4.4*0.539</f>
        <v>13.28096</v>
      </c>
      <c r="AM13" s="22">
        <f t="shared" si="5"/>
        <v>37.341920000000002</v>
      </c>
      <c r="AN13" s="22">
        <f t="shared" si="6"/>
        <v>18.670960000000001</v>
      </c>
      <c r="AO13" s="44"/>
      <c r="AP13" s="22">
        <f>8.3*6.2*0.539</f>
        <v>27.736940000000008</v>
      </c>
      <c r="AQ13" s="22">
        <f>10.2*8*0.539</f>
        <v>43.982399999999998</v>
      </c>
      <c r="AR13" s="22">
        <f t="shared" si="7"/>
        <v>71.719340000000003</v>
      </c>
      <c r="AS13" s="22">
        <f t="shared" si="8"/>
        <v>35.859670000000001</v>
      </c>
      <c r="AT13" s="44"/>
      <c r="AU13" s="22">
        <f>5.7*5*0.539</f>
        <v>15.361500000000001</v>
      </c>
      <c r="AV13" s="22">
        <f>7*6.9*0.539</f>
        <v>26.033700000000003</v>
      </c>
      <c r="AW13" s="22">
        <f t="shared" si="9"/>
        <v>41.395200000000003</v>
      </c>
      <c r="AX13" s="22">
        <f t="shared" si="10"/>
        <v>20.697600000000001</v>
      </c>
    </row>
    <row r="14" spans="1:50" x14ac:dyDescent="0.25">
      <c r="A14" s="6" t="s">
        <v>42</v>
      </c>
      <c r="B14" s="23">
        <f t="shared" si="0"/>
        <v>41.233500000000006</v>
      </c>
      <c r="C14" s="23">
        <f t="shared" si="1"/>
        <v>32.396595000000005</v>
      </c>
      <c r="D14" s="23">
        <f t="shared" si="2"/>
        <v>21.155750000000001</v>
      </c>
      <c r="E14" s="10">
        <f>SUM(B14:D14)</f>
        <v>94.785845000000009</v>
      </c>
      <c r="F14" s="10">
        <f t="shared" si="4"/>
        <v>31.595281666666668</v>
      </c>
      <c r="AJ14" s="3" t="s">
        <v>38</v>
      </c>
      <c r="AK14" s="22">
        <f>9.2*7.4*0.539</f>
        <v>36.695120000000003</v>
      </c>
      <c r="AL14" s="22">
        <f>9.5*7.5*0.539</f>
        <v>38.403750000000002</v>
      </c>
      <c r="AM14" s="22">
        <f t="shared" si="5"/>
        <v>75.098870000000005</v>
      </c>
      <c r="AN14" s="22">
        <f t="shared" si="6"/>
        <v>37.549435000000003</v>
      </c>
      <c r="AO14" s="44"/>
      <c r="AP14" s="22"/>
      <c r="AQ14" s="22">
        <f>6.5*5.5*0.539</f>
        <v>19.26925</v>
      </c>
      <c r="AR14" s="22">
        <f t="shared" si="7"/>
        <v>19.26925</v>
      </c>
      <c r="AS14" s="22">
        <f t="shared" si="8"/>
        <v>19.26925</v>
      </c>
      <c r="AT14" s="44"/>
      <c r="AU14" s="22">
        <f>7.7*5.9*0.539</f>
        <v>24.486770000000003</v>
      </c>
      <c r="AV14" s="22">
        <f>8*5.5*0.539</f>
        <v>23.716000000000001</v>
      </c>
      <c r="AW14" s="22">
        <f t="shared" si="9"/>
        <v>48.202770000000001</v>
      </c>
      <c r="AX14" s="22">
        <f t="shared" si="10"/>
        <v>24.101385000000001</v>
      </c>
    </row>
    <row r="15" spans="1:50" x14ac:dyDescent="0.25">
      <c r="A15" s="6" t="s">
        <v>41</v>
      </c>
      <c r="B15" s="10">
        <f>SUM(B3:B14)</f>
        <v>335.25800000000004</v>
      </c>
      <c r="C15" s="10">
        <f>SUM(C3:C14)</f>
        <v>376.94965000000002</v>
      </c>
      <c r="D15" s="10">
        <f>SUM(D3:D14)</f>
        <v>336.11231500000008</v>
      </c>
      <c r="E15" s="17">
        <f>SUM(E3:E14)</f>
        <v>1048.3199650000001</v>
      </c>
      <c r="F15" s="6"/>
      <c r="AJ15" s="3" t="s">
        <v>40</v>
      </c>
      <c r="AK15" s="22">
        <f>6.3*5.5*0.539</f>
        <v>18.676349999999999</v>
      </c>
      <c r="AL15" s="22">
        <f>7.3*5.9*0.539</f>
        <v>23.214730000000003</v>
      </c>
      <c r="AM15" s="22">
        <f t="shared" si="5"/>
        <v>41.891080000000002</v>
      </c>
      <c r="AN15" s="22">
        <f t="shared" si="6"/>
        <v>20.945540000000001</v>
      </c>
      <c r="AO15" s="44"/>
      <c r="AP15" s="22">
        <f>7*6.1*0.539</f>
        <v>23.0153</v>
      </c>
      <c r="AQ15" s="22">
        <f>9*6.8*0.539</f>
        <v>32.986800000000002</v>
      </c>
      <c r="AR15" s="22">
        <f t="shared" si="7"/>
        <v>56.002099999999999</v>
      </c>
      <c r="AS15" s="22">
        <f t="shared" si="8"/>
        <v>28.001049999999999</v>
      </c>
      <c r="AT15" s="44"/>
      <c r="AU15" s="22">
        <f>6*5.6*0.539</f>
        <v>18.110399999999998</v>
      </c>
      <c r="AV15" s="22">
        <f>8.3*7.1*0.539</f>
        <v>31.763270000000002</v>
      </c>
      <c r="AW15" s="22">
        <f t="shared" si="9"/>
        <v>49.873670000000004</v>
      </c>
      <c r="AX15" s="22">
        <f t="shared" si="10"/>
        <v>24.936835000000002</v>
      </c>
    </row>
    <row r="16" spans="1:50" x14ac:dyDescent="0.25">
      <c r="AJ16" s="3" t="s">
        <v>42</v>
      </c>
      <c r="AK16" s="22">
        <f>10.8*8.1*0.539</f>
        <v>47.151720000000005</v>
      </c>
      <c r="AL16" s="22">
        <f>9.1*7.2*0.539</f>
        <v>35.315280000000001</v>
      </c>
      <c r="AM16" s="22">
        <f t="shared" si="5"/>
        <v>82.467000000000013</v>
      </c>
      <c r="AN16" s="22">
        <f t="shared" si="6"/>
        <v>41.233500000000006</v>
      </c>
      <c r="AO16" s="45"/>
      <c r="AP16" s="22">
        <f>7.3*6.1*0.539</f>
        <v>24.001669999999997</v>
      </c>
      <c r="AQ16" s="22">
        <f>8.6*8.8*0.539</f>
        <v>40.791520000000006</v>
      </c>
      <c r="AR16" s="22">
        <f t="shared" si="7"/>
        <v>64.79319000000001</v>
      </c>
      <c r="AS16" s="22">
        <f t="shared" si="8"/>
        <v>32.396595000000005</v>
      </c>
      <c r="AT16" s="45"/>
      <c r="AU16" s="22">
        <f>7.5*6*0.539</f>
        <v>24.255000000000003</v>
      </c>
      <c r="AV16" s="22">
        <f>6.7*5*0.539</f>
        <v>18.0565</v>
      </c>
      <c r="AW16" s="22">
        <f t="shared" si="9"/>
        <v>42.311500000000002</v>
      </c>
      <c r="AX16" s="22">
        <f t="shared" si="10"/>
        <v>21.155750000000001</v>
      </c>
    </row>
    <row r="17" spans="1:7" x14ac:dyDescent="0.25">
      <c r="A17" s="8" t="s">
        <v>43</v>
      </c>
      <c r="B17" s="8"/>
      <c r="C17" s="8"/>
      <c r="D17" s="8"/>
      <c r="E17" s="8"/>
      <c r="F17" s="8"/>
    </row>
    <row r="18" spans="1:7" x14ac:dyDescent="0.25">
      <c r="A18" s="35" t="s">
        <v>33</v>
      </c>
      <c r="B18" s="39" t="s">
        <v>35</v>
      </c>
      <c r="C18" s="40"/>
      <c r="D18" s="41"/>
      <c r="E18" s="3" t="s">
        <v>5</v>
      </c>
      <c r="F18" s="18" t="s">
        <v>44</v>
      </c>
    </row>
    <row r="19" spans="1:7" x14ac:dyDescent="0.25">
      <c r="A19" s="35"/>
      <c r="B19" s="6" t="s">
        <v>45</v>
      </c>
      <c r="C19" s="6" t="s">
        <v>46</v>
      </c>
      <c r="D19" s="6" t="s">
        <v>47</v>
      </c>
      <c r="E19" s="3"/>
      <c r="F19" s="18"/>
    </row>
    <row r="20" spans="1:7" x14ac:dyDescent="0.25">
      <c r="A20" s="6" t="s">
        <v>48</v>
      </c>
      <c r="B20" s="19">
        <f>E3</f>
        <v>95.828810000000004</v>
      </c>
      <c r="C20" s="19">
        <f>E7</f>
        <v>88.406779999999998</v>
      </c>
      <c r="D20" s="19">
        <f>E11</f>
        <v>75.228229999999996</v>
      </c>
      <c r="E20" s="19">
        <f>SUM(B20:D20)</f>
        <v>259.46382</v>
      </c>
      <c r="F20" s="21">
        <f>E20/9</f>
        <v>28.829313333333332</v>
      </c>
    </row>
    <row r="21" spans="1:7" x14ac:dyDescent="0.25">
      <c r="A21" s="6" t="s">
        <v>49</v>
      </c>
      <c r="B21" s="19">
        <f>E4</f>
        <v>78.823360000000008</v>
      </c>
      <c r="C21" s="19">
        <f>E8</f>
        <v>85.601285000000004</v>
      </c>
      <c r="D21" s="19">
        <f>E12</f>
        <v>80.92007000000001</v>
      </c>
      <c r="E21" s="6">
        <f>SUM(B21:D21)</f>
        <v>245.34471500000001</v>
      </c>
      <c r="F21" s="21">
        <f>E21/9</f>
        <v>27.260523888888891</v>
      </c>
    </row>
    <row r="22" spans="1:7" x14ac:dyDescent="0.25">
      <c r="A22" s="9" t="s">
        <v>50</v>
      </c>
      <c r="B22" s="20">
        <f>E5</f>
        <v>95.125415000000004</v>
      </c>
      <c r="C22" s="20">
        <f>E9</f>
        <v>105.118475</v>
      </c>
      <c r="D22" s="20">
        <f>E13</f>
        <v>73.883425000000003</v>
      </c>
      <c r="E22" s="19">
        <f>SUM(B22:D22)</f>
        <v>274.12731500000001</v>
      </c>
      <c r="F22" s="21">
        <f t="shared" ref="F22:F23" si="15">E22/9</f>
        <v>30.458590555555556</v>
      </c>
    </row>
    <row r="23" spans="1:7" x14ac:dyDescent="0.25">
      <c r="A23" s="9" t="s">
        <v>51</v>
      </c>
      <c r="B23" s="20">
        <f>E6</f>
        <v>108.767505</v>
      </c>
      <c r="C23" s="20">
        <f>E10</f>
        <v>65.830765</v>
      </c>
      <c r="D23" s="20">
        <f>E14</f>
        <v>94.785845000000009</v>
      </c>
      <c r="E23" s="6">
        <f t="shared" ref="E23" si="16">SUM(B23:D23)</f>
        <v>269.38411500000001</v>
      </c>
      <c r="F23" s="21">
        <f t="shared" si="15"/>
        <v>29.931568333333335</v>
      </c>
    </row>
    <row r="24" spans="1:7" x14ac:dyDescent="0.25">
      <c r="A24" s="6" t="s">
        <v>5</v>
      </c>
      <c r="B24" s="19">
        <f>SUM(B20:B23)</f>
        <v>378.54509000000007</v>
      </c>
      <c r="C24" s="19">
        <f>SUM(C20:C23)</f>
        <v>344.95730499999996</v>
      </c>
      <c r="D24" s="19">
        <f>SUM(D20:D23)</f>
        <v>324.81756999999999</v>
      </c>
      <c r="E24" s="10">
        <f>SUM(B24:D24)</f>
        <v>1048.3199649999999</v>
      </c>
      <c r="F24" s="6"/>
    </row>
    <row r="25" spans="1:7" x14ac:dyDescent="0.25">
      <c r="A25" s="6" t="s">
        <v>44</v>
      </c>
      <c r="B25" s="10">
        <f>B24/12</f>
        <v>31.545424166666674</v>
      </c>
      <c r="C25" s="10">
        <f t="shared" ref="C25:D25" si="17">C24/12</f>
        <v>28.746442083333331</v>
      </c>
      <c r="D25" s="10">
        <f t="shared" si="17"/>
        <v>27.068130833333331</v>
      </c>
      <c r="E25" s="6"/>
      <c r="F25" s="6"/>
      <c r="G25" s="8"/>
    </row>
  </sheetData>
  <mergeCells count="18">
    <mergeCell ref="A1:A2"/>
    <mergeCell ref="B1:D1"/>
    <mergeCell ref="E1:E2"/>
    <mergeCell ref="F1:F2"/>
    <mergeCell ref="A18:A19"/>
    <mergeCell ref="B18:D18"/>
    <mergeCell ref="AX3:AX4"/>
    <mergeCell ref="AJ3:AJ4"/>
    <mergeCell ref="AK3:AL3"/>
    <mergeCell ref="AM3:AM4"/>
    <mergeCell ref="AN3:AN4"/>
    <mergeCell ref="AO3:AO16"/>
    <mergeCell ref="AP3:AQ3"/>
    <mergeCell ref="AR3:AR4"/>
    <mergeCell ref="AS3:AS4"/>
    <mergeCell ref="AT3:AT16"/>
    <mergeCell ref="AU3:AV3"/>
    <mergeCell ref="AW3:AW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L64"/>
  <sheetViews>
    <sheetView tabSelected="1" zoomScale="70" zoomScaleNormal="70" workbookViewId="0">
      <selection activeCell="AD48" sqref="AD48"/>
    </sheetView>
  </sheetViews>
  <sheetFormatPr defaultColWidth="8.88671875" defaultRowHeight="13.8" x14ac:dyDescent="0.25"/>
  <cols>
    <col min="1" max="1" width="10.6640625" style="1" bestFit="1" customWidth="1"/>
    <col min="2" max="6" width="8.88671875" style="1"/>
    <col min="7" max="7" width="3.33203125" style="1" customWidth="1"/>
    <col min="8" max="12" width="8.88671875" style="1"/>
    <col min="13" max="13" width="2.5546875" style="1" bestFit="1" customWidth="1"/>
    <col min="14" max="15" width="8.88671875" style="1"/>
    <col min="16" max="16" width="2.5546875" style="1" customWidth="1"/>
    <col min="17" max="17" width="9.88671875" style="1" customWidth="1"/>
    <col min="18" max="19" width="10.5546875" style="1" bestFit="1" customWidth="1"/>
    <col min="20" max="21" width="8.88671875" style="1"/>
    <col min="22" max="22" width="8.33203125" style="1" customWidth="1"/>
    <col min="23" max="24" width="10.5546875" style="1" bestFit="1" customWidth="1"/>
    <col min="25" max="26" width="8.88671875" style="1"/>
    <col min="27" max="27" width="3" style="1" customWidth="1"/>
    <col min="28" max="29" width="10.5546875" style="1" bestFit="1" customWidth="1"/>
    <col min="30" max="16384" width="8.88671875" style="1"/>
  </cols>
  <sheetData>
    <row r="1" spans="1:15" x14ac:dyDescent="0.25">
      <c r="A1" s="35" t="s">
        <v>3</v>
      </c>
      <c r="B1" s="36" t="s">
        <v>15</v>
      </c>
      <c r="C1" s="36"/>
      <c r="D1" s="36"/>
      <c r="E1" s="37" t="s">
        <v>5</v>
      </c>
      <c r="F1" s="37" t="s">
        <v>16</v>
      </c>
      <c r="H1" s="1" t="s">
        <v>0</v>
      </c>
      <c r="I1" s="1">
        <v>4</v>
      </c>
    </row>
    <row r="2" spans="1:15" x14ac:dyDescent="0.25">
      <c r="A2" s="35"/>
      <c r="B2" s="6" t="s">
        <v>18</v>
      </c>
      <c r="C2" s="6" t="s">
        <v>19</v>
      </c>
      <c r="D2" s="6" t="s">
        <v>20</v>
      </c>
      <c r="E2" s="38"/>
      <c r="F2" s="38"/>
      <c r="H2" s="1" t="s">
        <v>1</v>
      </c>
      <c r="I2" s="1">
        <v>3</v>
      </c>
    </row>
    <row r="3" spans="1:15" x14ac:dyDescent="0.25">
      <c r="A3" s="6" t="s">
        <v>13</v>
      </c>
      <c r="B3" s="23">
        <f t="shared" ref="B3:B14" si="0">E53</f>
        <v>27</v>
      </c>
      <c r="C3" s="23">
        <f t="shared" ref="C3:C14" si="1">J53</f>
        <v>20</v>
      </c>
      <c r="D3" s="23">
        <f t="shared" ref="D3:D14" si="2">O53</f>
        <v>15</v>
      </c>
      <c r="E3" s="10">
        <f>SUM(B3:D3)</f>
        <v>62</v>
      </c>
      <c r="F3" s="10">
        <f>AVERAGE(B3:D3)</f>
        <v>20.666666666666668</v>
      </c>
      <c r="H3" s="1" t="s">
        <v>2</v>
      </c>
      <c r="I3" s="1">
        <v>3</v>
      </c>
    </row>
    <row r="4" spans="1:15" x14ac:dyDescent="0.25">
      <c r="A4" s="6" t="s">
        <v>14</v>
      </c>
      <c r="B4" s="23">
        <f t="shared" si="0"/>
        <v>14.717395</v>
      </c>
      <c r="C4" s="23">
        <f t="shared" si="1"/>
        <v>32.620280000000008</v>
      </c>
      <c r="D4" s="23">
        <f t="shared" si="2"/>
        <v>31.561145000000003</v>
      </c>
      <c r="E4" s="10">
        <f t="shared" ref="E4:E13" si="3">SUM(B4:D4)</f>
        <v>78.898820000000001</v>
      </c>
      <c r="F4" s="10">
        <f t="shared" ref="F4:F14" si="4">AVERAGE(B4:D4)</f>
        <v>26.299606666666666</v>
      </c>
      <c r="H4" s="1" t="s">
        <v>10</v>
      </c>
      <c r="I4" s="5">
        <f>E15^2/36</f>
        <v>34340.721420833346</v>
      </c>
    </row>
    <row r="5" spans="1:15" x14ac:dyDescent="0.25">
      <c r="A5" s="6" t="s">
        <v>17</v>
      </c>
      <c r="B5" s="23">
        <f t="shared" si="0"/>
        <v>36.867600000000003</v>
      </c>
      <c r="C5" s="23">
        <f t="shared" si="1"/>
        <v>45.081959999999995</v>
      </c>
      <c r="D5" s="23">
        <f t="shared" si="2"/>
        <v>27.036239999999999</v>
      </c>
      <c r="E5" s="10">
        <f t="shared" si="3"/>
        <v>108.98579999999998</v>
      </c>
      <c r="F5" s="10">
        <f t="shared" si="4"/>
        <v>36.328599999999994</v>
      </c>
      <c r="H5" s="7" t="s">
        <v>57</v>
      </c>
      <c r="I5" s="8"/>
      <c r="J5" s="8"/>
      <c r="K5" s="8"/>
      <c r="L5" s="8"/>
      <c r="M5" s="8"/>
      <c r="N5" s="8"/>
      <c r="O5" s="8"/>
    </row>
    <row r="6" spans="1:15" x14ac:dyDescent="0.25">
      <c r="A6" s="6" t="s">
        <v>21</v>
      </c>
      <c r="B6" s="23">
        <f t="shared" si="0"/>
        <v>31.720150000000004</v>
      </c>
      <c r="C6" s="23">
        <f t="shared" si="1"/>
        <v>53.145400000000002</v>
      </c>
      <c r="D6" s="23">
        <f t="shared" si="2"/>
        <v>41.918030000000002</v>
      </c>
      <c r="E6" s="10">
        <f t="shared" si="3"/>
        <v>126.78358000000001</v>
      </c>
      <c r="F6" s="10">
        <f t="shared" si="4"/>
        <v>42.261193333333338</v>
      </c>
      <c r="H6" s="11" t="s">
        <v>22</v>
      </c>
      <c r="I6" s="11" t="s">
        <v>23</v>
      </c>
      <c r="J6" s="11" t="s">
        <v>24</v>
      </c>
      <c r="K6" s="11" t="s">
        <v>25</v>
      </c>
      <c r="L6" s="11" t="s">
        <v>26</v>
      </c>
      <c r="M6" s="11"/>
      <c r="N6" s="11" t="s">
        <v>27</v>
      </c>
      <c r="O6" s="11" t="s">
        <v>28</v>
      </c>
    </row>
    <row r="7" spans="1:15" ht="14.4" x14ac:dyDescent="0.3">
      <c r="A7" s="6" t="s">
        <v>29</v>
      </c>
      <c r="B7" s="23">
        <f t="shared" si="0"/>
        <v>30.925125000000001</v>
      </c>
      <c r="C7" s="23">
        <f t="shared" si="1"/>
        <v>35.398825000000002</v>
      </c>
      <c r="D7" s="23">
        <f t="shared" si="2"/>
        <v>36.355550000000001</v>
      </c>
      <c r="E7" s="10">
        <f t="shared" si="3"/>
        <v>102.67949999999999</v>
      </c>
      <c r="F7" s="10">
        <f t="shared" si="4"/>
        <v>34.226499999999994</v>
      </c>
      <c r="H7" s="8" t="s">
        <v>30</v>
      </c>
      <c r="I7" s="12">
        <v>2</v>
      </c>
      <c r="J7" s="24">
        <f>SUMSQ(B15:D15)/12-I4</f>
        <v>7.4730140521787689</v>
      </c>
      <c r="K7" s="13">
        <f>J7/I7</f>
        <v>3.7365070260893845</v>
      </c>
      <c r="L7" s="13">
        <f>K7/K$12</f>
        <v>4.372102312316075E-2</v>
      </c>
      <c r="M7" t="str">
        <f>IF(L7&lt;N7,"tn",IF(L7&lt;O7,"*","**"))</f>
        <v>tn</v>
      </c>
      <c r="N7" s="13">
        <f>FINV(0.05,I7,I$12)</f>
        <v>3.4433567793667246</v>
      </c>
      <c r="O7" s="13">
        <f>FINV(0.01,I7,I$12)</f>
        <v>5.7190219124822725</v>
      </c>
    </row>
    <row r="8" spans="1:15" ht="14.4" x14ac:dyDescent="0.3">
      <c r="A8" s="6" t="s">
        <v>31</v>
      </c>
      <c r="B8" s="23">
        <f t="shared" si="0"/>
        <v>20.29335</v>
      </c>
      <c r="C8" s="23">
        <f t="shared" si="1"/>
        <v>28.876925</v>
      </c>
      <c r="D8" s="23">
        <f t="shared" si="2"/>
        <v>29.3216</v>
      </c>
      <c r="E8" s="10">
        <f t="shared" si="3"/>
        <v>78.491875000000007</v>
      </c>
      <c r="F8" s="10">
        <f t="shared" si="4"/>
        <v>26.163958333333337</v>
      </c>
      <c r="H8" s="8" t="s">
        <v>3</v>
      </c>
      <c r="I8" s="12">
        <f>I1*I2-1</f>
        <v>11</v>
      </c>
      <c r="J8" s="24">
        <f>SUMSQ(E3:E14)/3-I4</f>
        <v>2278.7592440549997</v>
      </c>
      <c r="K8" s="13">
        <f t="shared" ref="K8:K12" si="5">J8/I8</f>
        <v>207.15993127772725</v>
      </c>
      <c r="L8" s="13">
        <f>K8/K$12</f>
        <v>2.4239869167502102</v>
      </c>
      <c r="M8" t="str">
        <f>IF(L8&lt;N8,"tn",IF(L8&lt;O8,"*","**"))</f>
        <v>*</v>
      </c>
      <c r="N8" s="13">
        <f t="shared" ref="N8:N11" si="6">FINV(0.05,I8,I$12)</f>
        <v>2.2585183566229916</v>
      </c>
      <c r="O8" s="13">
        <f t="shared" ref="O8:O11" si="7">FINV(0.01,I8,I$12)</f>
        <v>3.1837421959607717</v>
      </c>
    </row>
    <row r="9" spans="1:15" ht="14.4" x14ac:dyDescent="0.3">
      <c r="A9" s="6" t="s">
        <v>32</v>
      </c>
      <c r="B9" s="23">
        <f t="shared" si="0"/>
        <v>47.291859999999993</v>
      </c>
      <c r="C9" s="23">
        <f t="shared" si="1"/>
        <v>31.693200000000004</v>
      </c>
      <c r="D9" s="23">
        <f t="shared" si="2"/>
        <v>66.835999999999999</v>
      </c>
      <c r="E9" s="10">
        <f t="shared" si="3"/>
        <v>145.82105999999999</v>
      </c>
      <c r="F9" s="10">
        <f t="shared" si="4"/>
        <v>48.607019999999999</v>
      </c>
      <c r="H9" s="8" t="s">
        <v>33</v>
      </c>
      <c r="I9" s="12">
        <f>I1-1</f>
        <v>3</v>
      </c>
      <c r="J9" s="24">
        <f>SUMSQ(E20:E23)/9-I4</f>
        <v>858.17298504208884</v>
      </c>
      <c r="K9" s="13">
        <f t="shared" si="5"/>
        <v>286.0576616806963</v>
      </c>
      <c r="L9" s="13">
        <f t="shared" ref="L9:L11" si="8">K9/K$12</f>
        <v>3.3471725206384857</v>
      </c>
      <c r="M9" t="str">
        <f>IF(L9&lt;N9,"tn",IF(L9&lt;O9,"*","**"))</f>
        <v>*</v>
      </c>
      <c r="N9" s="13">
        <f t="shared" si="6"/>
        <v>3.0491249886524128</v>
      </c>
      <c r="O9" s="13">
        <f t="shared" si="7"/>
        <v>4.8166057778160596</v>
      </c>
    </row>
    <row r="10" spans="1:15" ht="14.4" x14ac:dyDescent="0.3">
      <c r="A10" s="6" t="s">
        <v>34</v>
      </c>
      <c r="B10" s="23">
        <f t="shared" si="0"/>
        <v>26.039090000000002</v>
      </c>
      <c r="C10" s="23">
        <f t="shared" si="1"/>
        <v>18.215505000000004</v>
      </c>
      <c r="D10" s="23">
        <f t="shared" si="2"/>
        <v>19.26925</v>
      </c>
      <c r="E10" s="10">
        <f t="shared" si="3"/>
        <v>63.523845000000009</v>
      </c>
      <c r="F10" s="10">
        <f t="shared" si="4"/>
        <v>21.174615000000003</v>
      </c>
      <c r="H10" s="8" t="s">
        <v>35</v>
      </c>
      <c r="I10" s="12">
        <f>I2-1</f>
        <v>2</v>
      </c>
      <c r="J10" s="24">
        <f>SUMSQ(B24:D24)/12-I4</f>
        <v>92.06513137735601</v>
      </c>
      <c r="K10" s="13">
        <f t="shared" si="5"/>
        <v>46.032565688678005</v>
      </c>
      <c r="L10" s="13">
        <f t="shared" si="8"/>
        <v>0.53862895341574613</v>
      </c>
      <c r="M10" t="str">
        <f>IF(L10&lt;N10,"tn",IF(L10&lt;O10,"*","**"))</f>
        <v>tn</v>
      </c>
      <c r="N10" s="13">
        <f t="shared" si="6"/>
        <v>3.4433567793667246</v>
      </c>
      <c r="O10" s="13">
        <f t="shared" si="7"/>
        <v>5.7190219124822725</v>
      </c>
    </row>
    <row r="11" spans="1:15" ht="14.4" x14ac:dyDescent="0.3">
      <c r="A11" s="6" t="s">
        <v>36</v>
      </c>
      <c r="B11" s="23">
        <f t="shared" si="0"/>
        <v>24.44904</v>
      </c>
      <c r="C11" s="23">
        <f t="shared" si="1"/>
        <v>28.523880000000002</v>
      </c>
      <c r="D11" s="23">
        <f t="shared" si="2"/>
        <v>27.165600000000001</v>
      </c>
      <c r="E11" s="10">
        <f t="shared" si="3"/>
        <v>80.13852</v>
      </c>
      <c r="F11" s="10">
        <f t="shared" si="4"/>
        <v>26.71284</v>
      </c>
      <c r="H11" s="8" t="s">
        <v>37</v>
      </c>
      <c r="I11" s="12">
        <f>I9*I10</f>
        <v>6</v>
      </c>
      <c r="J11" s="24">
        <f>J8-J9-J10</f>
        <v>1328.5211276355549</v>
      </c>
      <c r="K11" s="13">
        <f t="shared" si="5"/>
        <v>221.42018793925914</v>
      </c>
      <c r="L11" s="13">
        <f t="shared" si="8"/>
        <v>2.5908467692508941</v>
      </c>
      <c r="M11" t="str">
        <f>IF(L11&lt;N11,"tn",IF(L11&lt;O11,"*","**"))</f>
        <v>*</v>
      </c>
      <c r="N11" s="13">
        <f t="shared" si="6"/>
        <v>2.5490614138436585</v>
      </c>
      <c r="O11" s="13">
        <f t="shared" si="7"/>
        <v>3.7583014350037565</v>
      </c>
    </row>
    <row r="12" spans="1:15" x14ac:dyDescent="0.25">
      <c r="A12" s="6" t="s">
        <v>38</v>
      </c>
      <c r="B12" s="23">
        <f t="shared" si="0"/>
        <v>40.964000000000006</v>
      </c>
      <c r="C12" s="23">
        <f t="shared" si="1"/>
        <v>17.328850000000003</v>
      </c>
      <c r="D12" s="23">
        <f t="shared" si="2"/>
        <v>23.640540000000001</v>
      </c>
      <c r="E12" s="10">
        <f t="shared" si="3"/>
        <v>81.933390000000003</v>
      </c>
      <c r="F12" s="10">
        <f t="shared" si="4"/>
        <v>27.311130000000002</v>
      </c>
      <c r="H12" s="8" t="s">
        <v>39</v>
      </c>
      <c r="I12" s="12">
        <f>I13-I7-I8</f>
        <v>22</v>
      </c>
      <c r="J12" s="24">
        <f>J13-J7-J8</f>
        <v>1880.1745408016359</v>
      </c>
      <c r="K12" s="13">
        <f t="shared" si="5"/>
        <v>85.462479127347081</v>
      </c>
      <c r="L12" s="13"/>
      <c r="M12" s="8"/>
      <c r="N12" s="8"/>
      <c r="O12" s="8"/>
    </row>
    <row r="13" spans="1:15" x14ac:dyDescent="0.25">
      <c r="A13" s="6" t="s">
        <v>40</v>
      </c>
      <c r="B13" s="23">
        <f t="shared" si="0"/>
        <v>25.063500000000001</v>
      </c>
      <c r="C13" s="23">
        <f t="shared" si="1"/>
        <v>36.355550000000001</v>
      </c>
      <c r="D13" s="23">
        <f t="shared" si="2"/>
        <v>33.374880000000005</v>
      </c>
      <c r="E13" s="10">
        <f t="shared" si="3"/>
        <v>94.793930000000003</v>
      </c>
      <c r="F13" s="10">
        <f t="shared" si="4"/>
        <v>31.597976666666668</v>
      </c>
      <c r="H13" s="14" t="s">
        <v>41</v>
      </c>
      <c r="I13" s="15">
        <f>4*3*3-1</f>
        <v>35</v>
      </c>
      <c r="J13" s="25">
        <f>SUMSQ(B3:D14)-I4</f>
        <v>4166.4067989088144</v>
      </c>
      <c r="K13" s="14"/>
      <c r="L13" s="14"/>
      <c r="M13" s="14"/>
      <c r="N13" s="14"/>
      <c r="O13" s="14"/>
    </row>
    <row r="14" spans="1:15" x14ac:dyDescent="0.25">
      <c r="A14" s="6" t="s">
        <v>42</v>
      </c>
      <c r="B14" s="23">
        <f t="shared" si="0"/>
        <v>37.59525</v>
      </c>
      <c r="C14" s="23">
        <f t="shared" si="1"/>
        <v>27.855520000000002</v>
      </c>
      <c r="D14" s="23">
        <f t="shared" si="2"/>
        <v>22.373890000000003</v>
      </c>
      <c r="E14" s="10">
        <f>SUM(B14:D14)</f>
        <v>87.824660000000009</v>
      </c>
      <c r="F14" s="10">
        <f t="shared" si="4"/>
        <v>29.274886666666671</v>
      </c>
    </row>
    <row r="15" spans="1:15" x14ac:dyDescent="0.25">
      <c r="A15" s="6" t="s">
        <v>41</v>
      </c>
      <c r="B15" s="10">
        <f>SUM(B3:B14)</f>
        <v>362.92635999999999</v>
      </c>
      <c r="C15" s="10">
        <f>SUM(C3:C14)</f>
        <v>375.09589500000004</v>
      </c>
      <c r="D15" s="10">
        <f>SUM(D3:D14)</f>
        <v>373.85272500000002</v>
      </c>
      <c r="E15" s="17">
        <f>SUM(E3:E14)</f>
        <v>1111.8749800000001</v>
      </c>
      <c r="F15" s="6"/>
    </row>
    <row r="17" spans="1:38" x14ac:dyDescent="0.25">
      <c r="A17" s="8" t="s">
        <v>43</v>
      </c>
      <c r="B17" s="8"/>
      <c r="C17" s="8"/>
      <c r="D17" s="8"/>
      <c r="E17" s="8"/>
      <c r="F17" s="8"/>
    </row>
    <row r="18" spans="1:38" x14ac:dyDescent="0.25">
      <c r="A18" s="35" t="s">
        <v>33</v>
      </c>
      <c r="B18" s="39" t="s">
        <v>35</v>
      </c>
      <c r="C18" s="40"/>
      <c r="D18" s="41"/>
      <c r="E18" s="3" t="s">
        <v>5</v>
      </c>
      <c r="F18" s="18" t="s">
        <v>44</v>
      </c>
      <c r="J18" s="2" t="s">
        <v>3</v>
      </c>
    </row>
    <row r="19" spans="1:38" x14ac:dyDescent="0.25">
      <c r="A19" s="35"/>
      <c r="B19" s="6" t="s">
        <v>45</v>
      </c>
      <c r="C19" s="6" t="s">
        <v>46</v>
      </c>
      <c r="D19" s="6" t="s">
        <v>47</v>
      </c>
      <c r="E19" s="3"/>
      <c r="F19" s="18"/>
      <c r="J19" s="2" t="s">
        <v>33</v>
      </c>
      <c r="R19" s="2" t="s">
        <v>63</v>
      </c>
    </row>
    <row r="20" spans="1:38" ht="14.4" customHeight="1" x14ac:dyDescent="0.25">
      <c r="A20" s="6" t="s">
        <v>48</v>
      </c>
      <c r="B20" s="19">
        <f>E3</f>
        <v>62</v>
      </c>
      <c r="C20" s="19">
        <f>E7</f>
        <v>102.67949999999999</v>
      </c>
      <c r="D20" s="19">
        <f>E11</f>
        <v>80.13852</v>
      </c>
      <c r="E20" s="19">
        <f>SUM(B20:D20)</f>
        <v>244.81801999999999</v>
      </c>
      <c r="F20" s="21">
        <f>E20/9</f>
        <v>27.20200222222222</v>
      </c>
      <c r="I20" s="27"/>
      <c r="J20" s="6" t="s">
        <v>48</v>
      </c>
      <c r="K20" s="28">
        <f>F20</f>
        <v>27.20200222222222</v>
      </c>
      <c r="M20" s="1" t="s">
        <v>61</v>
      </c>
      <c r="Q20" s="42" t="s">
        <v>33</v>
      </c>
      <c r="R20" s="42" t="s">
        <v>35</v>
      </c>
      <c r="S20" s="42"/>
      <c r="T20" s="42"/>
      <c r="U20" s="42"/>
      <c r="V20" s="42"/>
      <c r="W20" s="42"/>
      <c r="AB20" s="42" t="s">
        <v>33</v>
      </c>
      <c r="AC20" s="42" t="s">
        <v>35</v>
      </c>
      <c r="AD20" s="42"/>
      <c r="AE20" s="42"/>
      <c r="AF20" s="42"/>
      <c r="AG20" s="42"/>
      <c r="AH20" s="42"/>
      <c r="AI20" s="42"/>
      <c r="AJ20" s="42"/>
      <c r="AK20" s="42"/>
      <c r="AL20" s="42" t="s">
        <v>59</v>
      </c>
    </row>
    <row r="21" spans="1:38" x14ac:dyDescent="0.25">
      <c r="A21" s="6" t="s">
        <v>49</v>
      </c>
      <c r="B21" s="19">
        <f>E4</f>
        <v>78.898820000000001</v>
      </c>
      <c r="C21" s="19">
        <f>E8</f>
        <v>78.491875000000007</v>
      </c>
      <c r="D21" s="19">
        <f>E12</f>
        <v>81.933390000000003</v>
      </c>
      <c r="E21" s="6">
        <f>SUM(B21:D21)</f>
        <v>239.324085</v>
      </c>
      <c r="F21" s="21">
        <f>E21/9</f>
        <v>26.591564999999999</v>
      </c>
      <c r="I21" s="27"/>
      <c r="J21" s="6" t="s">
        <v>49</v>
      </c>
      <c r="K21" s="28">
        <f t="shared" ref="K21:K23" si="9">F21</f>
        <v>26.591564999999999</v>
      </c>
      <c r="L21" s="32">
        <f>K21+K24</f>
        <v>38.701980369855832</v>
      </c>
      <c r="M21" s="1" t="s">
        <v>60</v>
      </c>
      <c r="Q21" s="42"/>
      <c r="R21" s="4" t="s">
        <v>45</v>
      </c>
      <c r="S21" s="4"/>
      <c r="T21" s="4" t="s">
        <v>46</v>
      </c>
      <c r="U21" s="4"/>
      <c r="V21" s="4" t="s">
        <v>47</v>
      </c>
      <c r="W21" s="4"/>
      <c r="AB21" s="42"/>
      <c r="AC21" s="42" t="s">
        <v>45</v>
      </c>
      <c r="AD21" s="42"/>
      <c r="AE21" s="42"/>
      <c r="AF21" s="42" t="s">
        <v>46</v>
      </c>
      <c r="AG21" s="42"/>
      <c r="AH21" s="42"/>
      <c r="AI21" s="42" t="s">
        <v>47</v>
      </c>
      <c r="AJ21" s="42"/>
      <c r="AK21" s="42"/>
      <c r="AL21" s="42"/>
    </row>
    <row r="22" spans="1:38" x14ac:dyDescent="0.25">
      <c r="A22" s="9" t="s">
        <v>50</v>
      </c>
      <c r="B22" s="20">
        <f>E5</f>
        <v>108.98579999999998</v>
      </c>
      <c r="C22" s="20">
        <f>E9</f>
        <v>145.82105999999999</v>
      </c>
      <c r="D22" s="20">
        <f>E13</f>
        <v>94.793930000000003</v>
      </c>
      <c r="E22" s="19">
        <f>SUM(B22:D22)</f>
        <v>349.60078999999996</v>
      </c>
      <c r="F22" s="21">
        <f t="shared" ref="F22:F23" si="10">E22/9</f>
        <v>38.84453222222222</v>
      </c>
      <c r="I22" s="29"/>
      <c r="J22" s="9" t="s">
        <v>50</v>
      </c>
      <c r="K22" s="28">
        <f t="shared" si="9"/>
        <v>38.84453222222222</v>
      </c>
      <c r="M22" s="1" t="s">
        <v>62</v>
      </c>
      <c r="Q22" s="4" t="s">
        <v>48</v>
      </c>
      <c r="R22" s="4">
        <v>20.67</v>
      </c>
      <c r="S22" s="4" t="s">
        <v>60</v>
      </c>
      <c r="T22" s="4">
        <v>34.229999999999997</v>
      </c>
      <c r="U22" s="34" t="s">
        <v>61</v>
      </c>
      <c r="V22" s="4">
        <v>26.71</v>
      </c>
      <c r="W22" s="4" t="s">
        <v>60</v>
      </c>
      <c r="AB22" s="4" t="s">
        <v>48</v>
      </c>
      <c r="AC22" s="4">
        <v>20.67</v>
      </c>
      <c r="AD22" s="4" t="s">
        <v>60</v>
      </c>
      <c r="AE22" s="4" t="s">
        <v>65</v>
      </c>
      <c r="AF22" s="4">
        <v>34.229999999999997</v>
      </c>
      <c r="AG22" s="34" t="s">
        <v>61</v>
      </c>
      <c r="AH22" s="4" t="s">
        <v>65</v>
      </c>
      <c r="AI22" s="4">
        <v>26.71</v>
      </c>
      <c r="AJ22" s="4" t="s">
        <v>60</v>
      </c>
      <c r="AK22" s="4" t="s">
        <v>65</v>
      </c>
      <c r="AL22" s="42">
        <v>18.974</v>
      </c>
    </row>
    <row r="23" spans="1:38" x14ac:dyDescent="0.25">
      <c r="A23" s="9" t="s">
        <v>51</v>
      </c>
      <c r="B23" s="20">
        <f>E6</f>
        <v>126.78358000000001</v>
      </c>
      <c r="C23" s="20">
        <f>E10</f>
        <v>63.523845000000009</v>
      </c>
      <c r="D23" s="20">
        <f>E14</f>
        <v>87.824660000000009</v>
      </c>
      <c r="E23" s="6">
        <f t="shared" ref="E23" si="11">SUM(B23:D23)</f>
        <v>278.13208500000002</v>
      </c>
      <c r="F23" s="21">
        <f t="shared" si="10"/>
        <v>30.903565</v>
      </c>
      <c r="I23" s="29"/>
      <c r="J23" s="9" t="s">
        <v>51</v>
      </c>
      <c r="K23" s="28">
        <f t="shared" si="9"/>
        <v>30.903565</v>
      </c>
      <c r="M23" s="1" t="s">
        <v>61</v>
      </c>
      <c r="Q23" s="4" t="s">
        <v>49</v>
      </c>
      <c r="R23" s="4">
        <v>26.3</v>
      </c>
      <c r="S23" s="4" t="s">
        <v>61</v>
      </c>
      <c r="T23" s="4">
        <v>26.16</v>
      </c>
      <c r="U23" s="34" t="s">
        <v>60</v>
      </c>
      <c r="V23" s="4">
        <v>27.31</v>
      </c>
      <c r="W23" s="4" t="s">
        <v>60</v>
      </c>
      <c r="AB23" s="4" t="s">
        <v>49</v>
      </c>
      <c r="AC23" s="4">
        <v>26.3</v>
      </c>
      <c r="AD23" s="4" t="s">
        <v>61</v>
      </c>
      <c r="AE23" s="4" t="s">
        <v>65</v>
      </c>
      <c r="AF23" s="4">
        <v>26.16</v>
      </c>
      <c r="AG23" s="34" t="s">
        <v>60</v>
      </c>
      <c r="AH23" s="4" t="s">
        <v>65</v>
      </c>
      <c r="AI23" s="4">
        <v>27.31</v>
      </c>
      <c r="AJ23" s="4" t="s">
        <v>60</v>
      </c>
      <c r="AK23" s="4" t="s">
        <v>65</v>
      </c>
      <c r="AL23" s="42"/>
    </row>
    <row r="24" spans="1:38" x14ac:dyDescent="0.25">
      <c r="A24" s="6" t="s">
        <v>5</v>
      </c>
      <c r="B24" s="19">
        <f>SUM(B20:B23)</f>
        <v>376.66820000000001</v>
      </c>
      <c r="C24" s="19">
        <f>SUM(C20:C23)</f>
        <v>390.51627999999999</v>
      </c>
      <c r="D24" s="19">
        <f>SUM(D20:D23)</f>
        <v>344.69049999999999</v>
      </c>
      <c r="E24" s="10">
        <f>SUM(B24:D24)</f>
        <v>1111.8749800000001</v>
      </c>
      <c r="F24" s="6"/>
      <c r="H24" s="30" t="s">
        <v>58</v>
      </c>
      <c r="I24" s="30">
        <v>3.93</v>
      </c>
      <c r="J24" s="31" t="s">
        <v>59</v>
      </c>
      <c r="K24" s="28">
        <f>3.93*(K12/(I3*I2))^0.5</f>
        <v>12.110415369855831</v>
      </c>
      <c r="Q24" s="4" t="s">
        <v>50</v>
      </c>
      <c r="R24" s="4">
        <v>36.33</v>
      </c>
      <c r="S24" s="4" t="s">
        <v>61</v>
      </c>
      <c r="T24" s="4">
        <v>48.61</v>
      </c>
      <c r="U24" s="34" t="s">
        <v>62</v>
      </c>
      <c r="V24" s="4">
        <v>31.6</v>
      </c>
      <c r="W24" s="4" t="s">
        <v>60</v>
      </c>
      <c r="AB24" s="4" t="s">
        <v>50</v>
      </c>
      <c r="AC24" s="4">
        <v>36.33</v>
      </c>
      <c r="AD24" s="4" t="s">
        <v>61</v>
      </c>
      <c r="AE24" s="4" t="s">
        <v>65</v>
      </c>
      <c r="AF24" s="4">
        <v>48.61</v>
      </c>
      <c r="AG24" s="34" t="s">
        <v>62</v>
      </c>
      <c r="AH24" s="4" t="s">
        <v>65</v>
      </c>
      <c r="AI24" s="4">
        <v>31.6</v>
      </c>
      <c r="AJ24" s="4" t="s">
        <v>60</v>
      </c>
      <c r="AK24" s="4" t="s">
        <v>65</v>
      </c>
      <c r="AL24" s="42"/>
    </row>
    <row r="25" spans="1:38" x14ac:dyDescent="0.25">
      <c r="A25" s="6" t="s">
        <v>44</v>
      </c>
      <c r="B25" s="10">
        <f>B24/12</f>
        <v>31.389016666666667</v>
      </c>
      <c r="C25" s="10">
        <f t="shared" ref="C25:D25" si="12">C24/12</f>
        <v>32.543023333333331</v>
      </c>
      <c r="D25" s="10">
        <f t="shared" si="12"/>
        <v>28.724208333333333</v>
      </c>
      <c r="E25" s="6"/>
      <c r="F25" s="6"/>
      <c r="G25" s="8"/>
      <c r="Q25" s="4" t="s">
        <v>51</v>
      </c>
      <c r="R25" s="4">
        <v>42.26</v>
      </c>
      <c r="S25" s="4" t="s">
        <v>62</v>
      </c>
      <c r="T25" s="4">
        <v>21.17</v>
      </c>
      <c r="U25" s="34" t="s">
        <v>60</v>
      </c>
      <c r="V25" s="4">
        <v>29.27</v>
      </c>
      <c r="W25" s="4" t="s">
        <v>60</v>
      </c>
      <c r="AB25" s="4" t="s">
        <v>51</v>
      </c>
      <c r="AC25" s="4">
        <v>42.26</v>
      </c>
      <c r="AD25" s="4" t="s">
        <v>62</v>
      </c>
      <c r="AE25" s="4" t="s">
        <v>67</v>
      </c>
      <c r="AF25" s="4">
        <v>21.17</v>
      </c>
      <c r="AG25" s="34" t="s">
        <v>60</v>
      </c>
      <c r="AH25" s="4" t="s">
        <v>65</v>
      </c>
      <c r="AI25" s="4">
        <v>29.27</v>
      </c>
      <c r="AJ25" s="4" t="s">
        <v>60</v>
      </c>
      <c r="AK25" s="4" t="s">
        <v>66</v>
      </c>
      <c r="AL25" s="42"/>
    </row>
    <row r="26" spans="1:38" x14ac:dyDescent="0.25">
      <c r="N26" s="1" t="s">
        <v>58</v>
      </c>
      <c r="O26" s="1">
        <v>3.93</v>
      </c>
      <c r="Q26" s="33" t="s">
        <v>59</v>
      </c>
      <c r="R26" s="46">
        <f>3.93*(K12/I3)^0.5</f>
        <v>20.975854721353336</v>
      </c>
      <c r="S26" s="46"/>
      <c r="T26" s="46"/>
      <c r="U26" s="46"/>
      <c r="V26" s="46"/>
      <c r="W26" s="46"/>
      <c r="AB26" s="4" t="s">
        <v>59</v>
      </c>
      <c r="AC26" s="42">
        <v>20.975999999999999</v>
      </c>
      <c r="AD26" s="42"/>
      <c r="AE26" s="42"/>
      <c r="AF26" s="42"/>
      <c r="AG26" s="42"/>
      <c r="AH26" s="42"/>
      <c r="AI26" s="42"/>
      <c r="AJ26" s="42"/>
      <c r="AK26" s="42"/>
      <c r="AL26" s="42"/>
    </row>
    <row r="29" spans="1:38" x14ac:dyDescent="0.25">
      <c r="Q29" s="42" t="s">
        <v>35</v>
      </c>
      <c r="R29" s="42" t="s">
        <v>33</v>
      </c>
      <c r="S29" s="42"/>
      <c r="T29" s="42"/>
      <c r="U29" s="42"/>
      <c r="V29" s="42"/>
      <c r="W29" s="42"/>
      <c r="X29" s="42"/>
      <c r="Y29" s="42"/>
    </row>
    <row r="30" spans="1:38" x14ac:dyDescent="0.25">
      <c r="Q30" s="42"/>
      <c r="R30" s="4" t="s">
        <v>48</v>
      </c>
      <c r="S30" s="4"/>
      <c r="T30" s="4" t="s">
        <v>49</v>
      </c>
      <c r="U30" s="4"/>
      <c r="V30" s="4" t="s">
        <v>50</v>
      </c>
      <c r="W30" s="4"/>
      <c r="X30" s="4" t="s">
        <v>51</v>
      </c>
      <c r="Y30" s="4"/>
    </row>
    <row r="31" spans="1:38" x14ac:dyDescent="0.25">
      <c r="Q31" s="4" t="s">
        <v>45</v>
      </c>
      <c r="R31" s="4">
        <v>20.67</v>
      </c>
      <c r="S31" s="4" t="s">
        <v>65</v>
      </c>
      <c r="T31" s="4">
        <v>26.3</v>
      </c>
      <c r="U31" s="4" t="s">
        <v>65</v>
      </c>
      <c r="V31" s="4">
        <v>36.33</v>
      </c>
      <c r="W31" s="4" t="s">
        <v>65</v>
      </c>
      <c r="X31" s="4">
        <v>42.26</v>
      </c>
      <c r="Y31" s="4" t="s">
        <v>67</v>
      </c>
    </row>
    <row r="32" spans="1:38" x14ac:dyDescent="0.25">
      <c r="Q32" s="4" t="s">
        <v>46</v>
      </c>
      <c r="R32" s="4">
        <v>34.229999999999997</v>
      </c>
      <c r="S32" s="4" t="s">
        <v>65</v>
      </c>
      <c r="T32" s="4">
        <v>26.16</v>
      </c>
      <c r="U32" s="4" t="s">
        <v>65</v>
      </c>
      <c r="V32" s="4">
        <v>48.61</v>
      </c>
      <c r="W32" s="4" t="s">
        <v>65</v>
      </c>
      <c r="X32" s="4">
        <v>21.17</v>
      </c>
      <c r="Y32" s="4" t="s">
        <v>65</v>
      </c>
    </row>
    <row r="33" spans="14:25" x14ac:dyDescent="0.25">
      <c r="Q33" s="4" t="s">
        <v>47</v>
      </c>
      <c r="R33" s="4">
        <v>26.71</v>
      </c>
      <c r="S33" s="4" t="s">
        <v>65</v>
      </c>
      <c r="T33" s="4">
        <v>27.31</v>
      </c>
      <c r="U33" s="4" t="s">
        <v>65</v>
      </c>
      <c r="V33" s="4">
        <v>31.6</v>
      </c>
      <c r="W33" s="4" t="s">
        <v>65</v>
      </c>
      <c r="X33" s="4">
        <v>29.27</v>
      </c>
      <c r="Y33" s="4" t="s">
        <v>66</v>
      </c>
    </row>
    <row r="34" spans="14:25" x14ac:dyDescent="0.25">
      <c r="N34" s="1" t="s">
        <v>64</v>
      </c>
      <c r="O34" s="1">
        <v>3.5550000000000002</v>
      </c>
      <c r="Q34" s="4" t="s">
        <v>59</v>
      </c>
      <c r="R34" s="47">
        <f>3.555*(K12/I3)^0.5</f>
        <v>18.974341866262368</v>
      </c>
      <c r="S34" s="48"/>
      <c r="T34" s="48"/>
      <c r="U34" s="48"/>
      <c r="V34" s="48"/>
      <c r="W34" s="48"/>
      <c r="X34" s="48"/>
      <c r="Y34" s="49"/>
    </row>
    <row r="50" spans="1:15" x14ac:dyDescent="0.25">
      <c r="A50" s="2" t="s">
        <v>53</v>
      </c>
    </row>
    <row r="51" spans="1:15" x14ac:dyDescent="0.25">
      <c r="A51" s="35" t="s">
        <v>3</v>
      </c>
      <c r="B51" s="42" t="s">
        <v>4</v>
      </c>
      <c r="C51" s="42"/>
      <c r="D51" s="42" t="s">
        <v>5</v>
      </c>
      <c r="E51" s="42" t="s">
        <v>6</v>
      </c>
      <c r="F51" s="43"/>
      <c r="G51" s="42" t="s">
        <v>7</v>
      </c>
      <c r="H51" s="42"/>
      <c r="I51" s="42" t="s">
        <v>5</v>
      </c>
      <c r="J51" s="42" t="s">
        <v>6</v>
      </c>
      <c r="K51" s="43"/>
      <c r="L51" s="42" t="s">
        <v>8</v>
      </c>
      <c r="M51" s="42"/>
      <c r="N51" s="42" t="s">
        <v>9</v>
      </c>
      <c r="O51" s="42" t="s">
        <v>6</v>
      </c>
    </row>
    <row r="52" spans="1:15" x14ac:dyDescent="0.25">
      <c r="A52" s="35"/>
      <c r="B52" s="4" t="s">
        <v>11</v>
      </c>
      <c r="C52" s="4" t="s">
        <v>12</v>
      </c>
      <c r="D52" s="42"/>
      <c r="E52" s="42"/>
      <c r="F52" s="44"/>
      <c r="G52" s="4" t="s">
        <v>11</v>
      </c>
      <c r="H52" s="4" t="s">
        <v>12</v>
      </c>
      <c r="I52" s="42"/>
      <c r="J52" s="42"/>
      <c r="K52" s="44"/>
      <c r="L52" s="4" t="s">
        <v>11</v>
      </c>
      <c r="M52" s="4" t="s">
        <v>12</v>
      </c>
      <c r="N52" s="42"/>
      <c r="O52" s="42"/>
    </row>
    <row r="53" spans="1:15" x14ac:dyDescent="0.25">
      <c r="A53" s="3" t="s">
        <v>13</v>
      </c>
      <c r="B53" s="22">
        <v>27</v>
      </c>
      <c r="C53" s="22"/>
      <c r="D53" s="22">
        <f>SUM(B53:C53)</f>
        <v>27</v>
      </c>
      <c r="E53" s="22">
        <f>AVERAGE(B53:C53)</f>
        <v>27</v>
      </c>
      <c r="F53" s="44"/>
      <c r="G53" s="22">
        <v>20</v>
      </c>
      <c r="H53" s="22"/>
      <c r="I53" s="22">
        <f>SUM(G53:H53)</f>
        <v>20</v>
      </c>
      <c r="J53" s="22">
        <f>AVERAGE(G53:H53)</f>
        <v>20</v>
      </c>
      <c r="K53" s="44"/>
      <c r="L53" s="22"/>
      <c r="M53" s="22">
        <v>15</v>
      </c>
      <c r="N53" s="22">
        <f>SUM(L53:M53)</f>
        <v>15</v>
      </c>
      <c r="O53" s="22">
        <f>AVERAGE(L53:M53)</f>
        <v>15</v>
      </c>
    </row>
    <row r="54" spans="1:15" x14ac:dyDescent="0.25">
      <c r="A54" s="3" t="s">
        <v>14</v>
      </c>
      <c r="B54" s="22">
        <f>6.5*5.1*0.539</f>
        <v>17.867850000000001</v>
      </c>
      <c r="C54" s="22">
        <f>5.8*3.7*0.539</f>
        <v>11.566940000000001</v>
      </c>
      <c r="D54" s="22">
        <f t="shared" ref="D54:D64" si="13">SUM(B54:C54)</f>
        <v>29.43479</v>
      </c>
      <c r="E54" s="22">
        <f t="shared" ref="E54:E64" si="14">AVERAGE(B54:C54)</f>
        <v>14.717395</v>
      </c>
      <c r="F54" s="44"/>
      <c r="G54" s="22">
        <f>9*6.8*0.539</f>
        <v>32.986800000000002</v>
      </c>
      <c r="H54" s="22">
        <f>8.8*6.8*0.539</f>
        <v>32.253760000000007</v>
      </c>
      <c r="I54" s="22">
        <f t="shared" ref="I54:I64" si="15">SUM(G54:H54)</f>
        <v>65.240560000000016</v>
      </c>
      <c r="J54" s="22">
        <f t="shared" ref="J54:J64" si="16">AVERAGE(G54:H54)</f>
        <v>32.620280000000008</v>
      </c>
      <c r="K54" s="44"/>
      <c r="L54" s="22">
        <f>7.9*5.9*0.539</f>
        <v>25.122790000000006</v>
      </c>
      <c r="M54" s="22">
        <f>9.4*7.5*0.539</f>
        <v>37.999500000000005</v>
      </c>
      <c r="N54" s="22">
        <f t="shared" ref="N54:N64" si="17">SUM(L54:M54)</f>
        <v>63.122290000000007</v>
      </c>
      <c r="O54" s="22">
        <f t="shared" ref="O54:O64" si="18">AVERAGE(L54:M54)</f>
        <v>31.561145000000003</v>
      </c>
    </row>
    <row r="55" spans="1:15" x14ac:dyDescent="0.25">
      <c r="A55" s="3" t="s">
        <v>17</v>
      </c>
      <c r="B55" s="22">
        <f>9.5*7.2*0.539</f>
        <v>36.867600000000003</v>
      </c>
      <c r="C55" s="22"/>
      <c r="D55" s="22">
        <f t="shared" si="13"/>
        <v>36.867600000000003</v>
      </c>
      <c r="E55" s="22">
        <f t="shared" si="14"/>
        <v>36.867600000000003</v>
      </c>
      <c r="F55" s="44"/>
      <c r="G55" s="22"/>
      <c r="H55" s="22">
        <f>10.2*8.2*0.539</f>
        <v>45.081959999999995</v>
      </c>
      <c r="I55" s="22">
        <f t="shared" si="15"/>
        <v>45.081959999999995</v>
      </c>
      <c r="J55" s="22">
        <f t="shared" si="16"/>
        <v>45.081959999999995</v>
      </c>
      <c r="K55" s="44"/>
      <c r="L55" s="22"/>
      <c r="M55" s="22">
        <f>7.6*6.6*0.539</f>
        <v>27.036239999999999</v>
      </c>
      <c r="N55" s="22">
        <f t="shared" si="17"/>
        <v>27.036239999999999</v>
      </c>
      <c r="O55" s="22">
        <f t="shared" si="18"/>
        <v>27.036239999999999</v>
      </c>
    </row>
    <row r="56" spans="1:15" x14ac:dyDescent="0.25">
      <c r="A56" s="3" t="s">
        <v>21</v>
      </c>
      <c r="B56" s="22">
        <f>10*7.5*0.539</f>
        <v>40.425000000000004</v>
      </c>
      <c r="C56" s="22">
        <f>7*6.1*0.539</f>
        <v>23.0153</v>
      </c>
      <c r="D56" s="22">
        <f t="shared" si="13"/>
        <v>63.440300000000008</v>
      </c>
      <c r="E56" s="22">
        <f t="shared" si="14"/>
        <v>31.720150000000004</v>
      </c>
      <c r="F56" s="44"/>
      <c r="G56" s="22">
        <f>11.6*8.5*0.539</f>
        <v>53.145400000000002</v>
      </c>
      <c r="H56" s="22"/>
      <c r="I56" s="22">
        <f t="shared" si="15"/>
        <v>53.145400000000002</v>
      </c>
      <c r="J56" s="22">
        <f t="shared" si="16"/>
        <v>53.145400000000002</v>
      </c>
      <c r="K56" s="44"/>
      <c r="L56" s="22">
        <f>10.1*7.7*0.539</f>
        <v>41.918030000000002</v>
      </c>
      <c r="M56" s="22"/>
      <c r="N56" s="22">
        <f t="shared" si="17"/>
        <v>41.918030000000002</v>
      </c>
      <c r="O56" s="22">
        <f t="shared" si="18"/>
        <v>41.918030000000002</v>
      </c>
    </row>
    <row r="57" spans="1:15" x14ac:dyDescent="0.25">
      <c r="A57" s="3" t="s">
        <v>29</v>
      </c>
      <c r="B57" s="22">
        <f>8.5*7.2*0.539</f>
        <v>32.986800000000002</v>
      </c>
      <c r="C57" s="22">
        <f>8.5*6.3*0.539</f>
        <v>28.86345</v>
      </c>
      <c r="D57" s="22">
        <f t="shared" si="13"/>
        <v>61.850250000000003</v>
      </c>
      <c r="E57" s="22">
        <f t="shared" si="14"/>
        <v>30.925125000000001</v>
      </c>
      <c r="F57" s="44"/>
      <c r="G57" s="22">
        <f>10.6*7.1*0.539</f>
        <v>40.56514</v>
      </c>
      <c r="H57" s="22">
        <f>7.9*7.1*0.539</f>
        <v>30.232510000000001</v>
      </c>
      <c r="I57" s="22">
        <f t="shared" si="15"/>
        <v>70.797650000000004</v>
      </c>
      <c r="J57" s="22">
        <f t="shared" si="16"/>
        <v>35.398825000000002</v>
      </c>
      <c r="K57" s="44"/>
      <c r="L57" s="22"/>
      <c r="M57" s="22">
        <f>9.5*7.1*0.539</f>
        <v>36.355550000000001</v>
      </c>
      <c r="N57" s="22">
        <f t="shared" si="17"/>
        <v>36.355550000000001</v>
      </c>
      <c r="O57" s="22">
        <f t="shared" si="18"/>
        <v>36.355550000000001</v>
      </c>
    </row>
    <row r="58" spans="1:15" x14ac:dyDescent="0.25">
      <c r="A58" s="3" t="s">
        <v>31</v>
      </c>
      <c r="B58" s="22">
        <f>5.7*4.7*0.539</f>
        <v>14.439810000000003</v>
      </c>
      <c r="C58" s="22">
        <f>7.7*6.3*0.539</f>
        <v>26.146889999999999</v>
      </c>
      <c r="D58" s="22">
        <f t="shared" si="13"/>
        <v>40.5867</v>
      </c>
      <c r="E58" s="22">
        <f t="shared" si="14"/>
        <v>20.29335</v>
      </c>
      <c r="F58" s="44"/>
      <c r="G58" s="22">
        <f>6.8*5.5*0.539</f>
        <v>20.1586</v>
      </c>
      <c r="H58" s="22">
        <f>9.3*7.5*0.539</f>
        <v>37.59525</v>
      </c>
      <c r="I58" s="22">
        <f t="shared" si="15"/>
        <v>57.75385</v>
      </c>
      <c r="J58" s="22">
        <f t="shared" si="16"/>
        <v>28.876925</v>
      </c>
      <c r="K58" s="44"/>
      <c r="L58" s="22">
        <f>7.5*6.8*0.539</f>
        <v>27.489000000000001</v>
      </c>
      <c r="M58" s="22">
        <f>8.5*6.8*0.539</f>
        <v>31.154199999999999</v>
      </c>
      <c r="N58" s="22">
        <f t="shared" si="17"/>
        <v>58.6432</v>
      </c>
      <c r="O58" s="22">
        <f t="shared" si="18"/>
        <v>29.3216</v>
      </c>
    </row>
    <row r="59" spans="1:15" x14ac:dyDescent="0.25">
      <c r="A59" s="3" t="s">
        <v>32</v>
      </c>
      <c r="B59" s="22">
        <f>10.7*8.2*0.539</f>
        <v>47.291859999999993</v>
      </c>
      <c r="C59" s="22"/>
      <c r="D59" s="22">
        <f t="shared" si="13"/>
        <v>47.291859999999993</v>
      </c>
      <c r="E59" s="22">
        <f t="shared" si="14"/>
        <v>47.291859999999993</v>
      </c>
      <c r="F59" s="44"/>
      <c r="G59" s="22">
        <f>8.4*7*0.539</f>
        <v>31.693200000000004</v>
      </c>
      <c r="H59" s="22"/>
      <c r="I59" s="22">
        <f t="shared" si="15"/>
        <v>31.693200000000004</v>
      </c>
      <c r="J59" s="22">
        <f t="shared" si="16"/>
        <v>31.693200000000004</v>
      </c>
      <c r="K59" s="44"/>
      <c r="L59" s="22"/>
      <c r="M59" s="22">
        <f>12.4*10*0.539</f>
        <v>66.835999999999999</v>
      </c>
      <c r="N59" s="22">
        <f t="shared" si="17"/>
        <v>66.835999999999999</v>
      </c>
      <c r="O59" s="22">
        <f t="shared" si="18"/>
        <v>66.835999999999999</v>
      </c>
    </row>
    <row r="60" spans="1:15" x14ac:dyDescent="0.25">
      <c r="A60" s="3" t="s">
        <v>34</v>
      </c>
      <c r="B60" s="22">
        <f>7.4*5.6*0.539</f>
        <v>22.33616</v>
      </c>
      <c r="C60" s="22">
        <f>8.9*6.2*0.539</f>
        <v>29.742020000000007</v>
      </c>
      <c r="D60" s="22">
        <f t="shared" si="13"/>
        <v>52.078180000000003</v>
      </c>
      <c r="E60" s="22">
        <f t="shared" si="14"/>
        <v>26.039090000000002</v>
      </c>
      <c r="F60" s="44"/>
      <c r="G60" s="22">
        <f>6*4.9*0.539</f>
        <v>15.846600000000002</v>
      </c>
      <c r="H60" s="22">
        <f>6.7*5.7*0.539</f>
        <v>20.584410000000005</v>
      </c>
      <c r="I60" s="22">
        <f t="shared" si="15"/>
        <v>36.431010000000008</v>
      </c>
      <c r="J60" s="22">
        <f t="shared" si="16"/>
        <v>18.215505000000004</v>
      </c>
      <c r="K60" s="44"/>
      <c r="L60" s="22">
        <f>6.5*5.5*0.539</f>
        <v>19.26925</v>
      </c>
      <c r="M60" s="22"/>
      <c r="N60" s="22">
        <f t="shared" si="17"/>
        <v>19.26925</v>
      </c>
      <c r="O60" s="22">
        <f t="shared" si="18"/>
        <v>19.26925</v>
      </c>
    </row>
    <row r="61" spans="1:15" x14ac:dyDescent="0.25">
      <c r="A61" s="3" t="s">
        <v>36</v>
      </c>
      <c r="B61" s="22">
        <f>7.2*6.3*0.539</f>
        <v>24.44904</v>
      </c>
      <c r="C61" s="22"/>
      <c r="D61" s="22">
        <f t="shared" si="13"/>
        <v>24.44904</v>
      </c>
      <c r="E61" s="22">
        <f t="shared" si="14"/>
        <v>24.44904</v>
      </c>
      <c r="F61" s="44"/>
      <c r="G61" s="22">
        <f>8.4*6.3*0.539</f>
        <v>28.523880000000002</v>
      </c>
      <c r="H61" s="22"/>
      <c r="I61" s="22">
        <f t="shared" si="15"/>
        <v>28.523880000000002</v>
      </c>
      <c r="J61" s="22">
        <f t="shared" si="16"/>
        <v>28.523880000000002</v>
      </c>
      <c r="K61" s="44"/>
      <c r="L61" s="22"/>
      <c r="M61" s="22">
        <f>7.2*7*0.539</f>
        <v>27.165600000000001</v>
      </c>
      <c r="N61" s="22">
        <f t="shared" si="17"/>
        <v>27.165600000000001</v>
      </c>
      <c r="O61" s="22">
        <f t="shared" si="18"/>
        <v>27.165600000000001</v>
      </c>
    </row>
    <row r="62" spans="1:15" x14ac:dyDescent="0.25">
      <c r="A62" s="3" t="s">
        <v>38</v>
      </c>
      <c r="B62" s="22">
        <f>10*7.6*0.539</f>
        <v>40.964000000000006</v>
      </c>
      <c r="C62" s="22"/>
      <c r="D62" s="22">
        <f t="shared" si="13"/>
        <v>40.964000000000006</v>
      </c>
      <c r="E62" s="22">
        <f t="shared" si="14"/>
        <v>40.964000000000006</v>
      </c>
      <c r="F62" s="44"/>
      <c r="G62" s="22">
        <f>6.1*4.5*0.539</f>
        <v>14.79555</v>
      </c>
      <c r="H62" s="22">
        <f>6.7*5.5*0.539</f>
        <v>19.862150000000003</v>
      </c>
      <c r="I62" s="22">
        <f t="shared" si="15"/>
        <v>34.657700000000006</v>
      </c>
      <c r="J62" s="22">
        <f t="shared" si="16"/>
        <v>17.328850000000003</v>
      </c>
      <c r="K62" s="44"/>
      <c r="L62" s="22">
        <f>7.9*6*0.539</f>
        <v>25.548600000000004</v>
      </c>
      <c r="M62" s="22">
        <f>7.2*5.6*0.539</f>
        <v>21.732480000000002</v>
      </c>
      <c r="N62" s="22">
        <f t="shared" si="17"/>
        <v>47.281080000000003</v>
      </c>
      <c r="O62" s="22">
        <f t="shared" si="18"/>
        <v>23.640540000000001</v>
      </c>
    </row>
    <row r="63" spans="1:15" x14ac:dyDescent="0.25">
      <c r="A63" s="3" t="s">
        <v>40</v>
      </c>
      <c r="B63" s="22"/>
      <c r="C63" s="22">
        <f>7.5*6.2*0.539</f>
        <v>25.063500000000001</v>
      </c>
      <c r="D63" s="22">
        <f t="shared" si="13"/>
        <v>25.063500000000001</v>
      </c>
      <c r="E63" s="22">
        <f t="shared" si="14"/>
        <v>25.063500000000001</v>
      </c>
      <c r="F63" s="44"/>
      <c r="G63" s="22"/>
      <c r="H63" s="22">
        <f>9.5*7.1*0.539</f>
        <v>36.355550000000001</v>
      </c>
      <c r="I63" s="22">
        <f t="shared" si="15"/>
        <v>36.355550000000001</v>
      </c>
      <c r="J63" s="22">
        <f t="shared" si="16"/>
        <v>36.355550000000001</v>
      </c>
      <c r="K63" s="44"/>
      <c r="L63" s="22"/>
      <c r="M63" s="22">
        <f>8.6*7.2*0.539</f>
        <v>33.374880000000005</v>
      </c>
      <c r="N63" s="22">
        <f t="shared" si="17"/>
        <v>33.374880000000005</v>
      </c>
      <c r="O63" s="22">
        <f t="shared" si="18"/>
        <v>33.374880000000005</v>
      </c>
    </row>
    <row r="64" spans="1:15" x14ac:dyDescent="0.25">
      <c r="A64" s="3" t="s">
        <v>42</v>
      </c>
      <c r="B64" s="22"/>
      <c r="C64" s="22">
        <f>9.3*7.5*0.539</f>
        <v>37.59525</v>
      </c>
      <c r="D64" s="22">
        <f t="shared" si="13"/>
        <v>37.59525</v>
      </c>
      <c r="E64" s="22">
        <f t="shared" si="14"/>
        <v>37.59525</v>
      </c>
      <c r="F64" s="45"/>
      <c r="G64" s="22">
        <f>7.6*6.8*0.539</f>
        <v>27.855520000000002</v>
      </c>
      <c r="H64" s="22"/>
      <c r="I64" s="22">
        <f t="shared" si="15"/>
        <v>27.855520000000002</v>
      </c>
      <c r="J64" s="22">
        <f t="shared" si="16"/>
        <v>27.855520000000002</v>
      </c>
      <c r="K64" s="45"/>
      <c r="L64" s="22">
        <f>8.2*6.1*0.539</f>
        <v>26.96078</v>
      </c>
      <c r="M64" s="22">
        <f>6.6*5*0.539</f>
        <v>17.787000000000003</v>
      </c>
      <c r="N64" s="22">
        <f t="shared" si="17"/>
        <v>44.747780000000006</v>
      </c>
      <c r="O64" s="22">
        <f t="shared" si="18"/>
        <v>22.373890000000003</v>
      </c>
    </row>
  </sheetData>
  <mergeCells count="32">
    <mergeCell ref="AL22:AL26"/>
    <mergeCell ref="AL20:AL21"/>
    <mergeCell ref="R34:Y34"/>
    <mergeCell ref="AB20:AB21"/>
    <mergeCell ref="AC20:AK20"/>
    <mergeCell ref="AC21:AE21"/>
    <mergeCell ref="AF21:AH21"/>
    <mergeCell ref="AI21:AK21"/>
    <mergeCell ref="AC26:AK26"/>
    <mergeCell ref="Q20:Q21"/>
    <mergeCell ref="R20:W20"/>
    <mergeCell ref="R26:W26"/>
    <mergeCell ref="Q29:Q30"/>
    <mergeCell ref="R29:Y29"/>
    <mergeCell ref="O51:O52"/>
    <mergeCell ref="A51:A52"/>
    <mergeCell ref="B51:C51"/>
    <mergeCell ref="D51:D52"/>
    <mergeCell ref="E51:E52"/>
    <mergeCell ref="F51:F64"/>
    <mergeCell ref="G51:H51"/>
    <mergeCell ref="I51:I52"/>
    <mergeCell ref="J51:J52"/>
    <mergeCell ref="K51:K64"/>
    <mergeCell ref="L51:M51"/>
    <mergeCell ref="N51:N52"/>
    <mergeCell ref="A1:A2"/>
    <mergeCell ref="B1:D1"/>
    <mergeCell ref="E1:E2"/>
    <mergeCell ref="F1:F2"/>
    <mergeCell ref="A18:A19"/>
    <mergeCell ref="B18:D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7 HST</vt:lpstr>
      <vt:lpstr>14 HST</vt:lpstr>
      <vt:lpstr>21 HST</vt:lpstr>
      <vt:lpstr>28 HST</vt:lpstr>
      <vt:lpstr>PANEN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mochaziz06@gmail.com</cp:lastModifiedBy>
  <dcterms:created xsi:type="dcterms:W3CDTF">2023-03-27T10:40:18Z</dcterms:created>
  <dcterms:modified xsi:type="dcterms:W3CDTF">2023-05-22T05:56:05Z</dcterms:modified>
</cp:coreProperties>
</file>